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bin" ContentType="image/unknown"/>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checkCompatibility="1"/>
  <mc:AlternateContent xmlns:mc="http://schemas.openxmlformats.org/markup-compatibility/2006">
    <mc:Choice Requires="x15">
      <x15ac:absPath xmlns:x15ac="http://schemas.microsoft.com/office/spreadsheetml/2010/11/ac" url="N:\JPG\Investor Reporting\Paragon Finance\PSF1\"/>
    </mc:Choice>
  </mc:AlternateContent>
  <xr:revisionPtr revIDLastSave="0" documentId="10_ncr:100000_{7106E8AF-ABFC-4348-986A-D5196BA7F7CD}" xr6:coauthVersionLast="31" xr6:coauthVersionMax="31" xr10:uidLastSave="{00000000-0000-0000-0000-000000000000}"/>
  <bookViews>
    <workbookView xWindow="1116" yWindow="756" windowWidth="21528" windowHeight="9036" tabRatio="645" firstSheet="48" activeTab="54" xr2:uid="{00000000-000D-0000-FFFF-FFFF00000000}"/>
  </bookViews>
  <sheets>
    <sheet name="April 2005" sheetId="1" r:id="rId1"/>
    <sheet name="July 2005" sheetId="2" r:id="rId2"/>
    <sheet name="Oct 2005" sheetId="3" r:id="rId3"/>
    <sheet name="Jan 2006" sheetId="4" r:id="rId4"/>
    <sheet name="April 2006" sheetId="5" r:id="rId5"/>
    <sheet name="July 2006" sheetId="6" r:id="rId6"/>
    <sheet name="Oct 2006" sheetId="7" r:id="rId7"/>
    <sheet name="Jan 2007" sheetId="8" r:id="rId8"/>
    <sheet name="April 2007" sheetId="9" r:id="rId9"/>
    <sheet name="July 2007" sheetId="10" r:id="rId10"/>
    <sheet name="Oct 2007" sheetId="11" r:id="rId11"/>
    <sheet name="Jan 2008" sheetId="12" r:id="rId12"/>
    <sheet name="April 2008" sheetId="13" r:id="rId13"/>
    <sheet name="July 2008" sheetId="14" r:id="rId14"/>
    <sheet name="Oct 2008" sheetId="15" r:id="rId15"/>
    <sheet name="Jan 2009" sheetId="16" r:id="rId16"/>
    <sheet name="April 2009" sheetId="17" r:id="rId17"/>
    <sheet name="July 2009" sheetId="18" r:id="rId18"/>
    <sheet name="Oct 2009" sheetId="19" r:id="rId19"/>
    <sheet name="Jan 2010" sheetId="20" r:id="rId20"/>
    <sheet name="April 2010" sheetId="21" r:id="rId21"/>
    <sheet name="July 2010" sheetId="22" r:id="rId22"/>
    <sheet name="Oct 2010" sheetId="23" r:id="rId23"/>
    <sheet name="Jan 2011" sheetId="24" r:id="rId24"/>
    <sheet name="April 2011" sheetId="25" r:id="rId25"/>
    <sheet name="July 11" sheetId="26" r:id="rId26"/>
    <sheet name="Oct 11" sheetId="27" r:id="rId27"/>
    <sheet name="Jan 12" sheetId="28" r:id="rId28"/>
    <sheet name="April 12" sheetId="29" r:id="rId29"/>
    <sheet name="July 12" sheetId="30" r:id="rId30"/>
    <sheet name="Oct 12" sheetId="31" r:id="rId31"/>
    <sheet name="Jan 13" sheetId="32" r:id="rId32"/>
    <sheet name="April 13" sheetId="33" r:id="rId33"/>
    <sheet name="July 13" sheetId="34" r:id="rId34"/>
    <sheet name="Oct 13" sheetId="35" r:id="rId35"/>
    <sheet name="Jan 14" sheetId="36" r:id="rId36"/>
    <sheet name="April 14" sheetId="37" r:id="rId37"/>
    <sheet name="July 14" sheetId="38" r:id="rId38"/>
    <sheet name="Oct 14" sheetId="39" r:id="rId39"/>
    <sheet name="Jan 15" sheetId="40" r:id="rId40"/>
    <sheet name="April 15" sheetId="41" r:id="rId41"/>
    <sheet name="July 15" sheetId="42" r:id="rId42"/>
    <sheet name="Oct 15" sheetId="43" r:id="rId43"/>
    <sheet name="Jan 16" sheetId="44" r:id="rId44"/>
    <sheet name="April 16" sheetId="45" r:id="rId45"/>
    <sheet name="July 16" sheetId="46" r:id="rId46"/>
    <sheet name="Oct 16" sheetId="47" r:id="rId47"/>
    <sheet name="Jan 17" sheetId="48" r:id="rId48"/>
    <sheet name="April 17" sheetId="49" r:id="rId49"/>
    <sheet name="July 17" sheetId="50" r:id="rId50"/>
    <sheet name="Oct 17" sheetId="51" r:id="rId51"/>
    <sheet name="Jan 18" sheetId="52" r:id="rId52"/>
    <sheet name="April 18" sheetId="53" r:id="rId53"/>
    <sheet name="July 18" sheetId="54" r:id="rId54"/>
    <sheet name="Oct 18" sheetId="55" r:id="rId55"/>
  </sheets>
  <definedNames>
    <definedName name="_100PAGE_3" localSheetId="30">'Oct 12'!$A$115:$N$168</definedName>
    <definedName name="_101PAGE_3" localSheetId="34">'Oct 13'!$A$115:$N$170</definedName>
    <definedName name="_102PAGE_3" localSheetId="2">'Oct 2005'!$A$114:$N$167</definedName>
    <definedName name="_103PAGE_3" localSheetId="6">'Oct 2006'!$A$116:$N$169</definedName>
    <definedName name="_104PAGE_3" localSheetId="10">'Oct 2007'!$A$116:$N$169</definedName>
    <definedName name="_105PAGE_3" localSheetId="14">'Oct 2008'!$A$116:$N$169</definedName>
    <definedName name="_106PAGE_3" localSheetId="18">'Oct 2009'!$A$116:$N$169</definedName>
    <definedName name="_107PAGE_3" localSheetId="22">'Oct 2010'!$A$115:$N$168</definedName>
    <definedName name="_108PAGE_3">'April 2005'!$A$113:$N$166</definedName>
    <definedName name="_109PAGE_4" localSheetId="28">'April 12'!$A$169:$N$222</definedName>
    <definedName name="_10PAGE_1" localSheetId="31">'Jan 13'!$A$1:$N$54</definedName>
    <definedName name="_110PAGE_4" localSheetId="32">'April 13'!$A$171:$N$224</definedName>
    <definedName name="_111PAGE_4" localSheetId="4">'April 2006'!$A$170:$N$223</definedName>
    <definedName name="_112PAGE_4" localSheetId="8">'April 2007'!$A$170:$N$223</definedName>
    <definedName name="_113PAGE_4" localSheetId="12">'April 2008'!$A$170:$N$223</definedName>
    <definedName name="_114PAGE_4" localSheetId="16">'April 2009'!$A$170:$N$223</definedName>
    <definedName name="_115PAGE_4" localSheetId="20">'April 2010'!$A$170:$N$223</definedName>
    <definedName name="_116PAGE_4" localSheetId="24">'April 2011'!$A$169:$N$222</definedName>
    <definedName name="_117PAGE_4" localSheetId="27">'Jan 12'!$A$169:$N$222</definedName>
    <definedName name="_118PAGE_4" localSheetId="31">'Jan 13'!$A$171:$N$224</definedName>
    <definedName name="_119PAGE_4" localSheetId="36">'April 14'!$A$171:$N$224</definedName>
    <definedName name="_119PAGE_4" localSheetId="40">'April 15'!$A$171:$N$224</definedName>
    <definedName name="_119PAGE_4" localSheetId="44">'April 16'!$A$171:$N$224</definedName>
    <definedName name="_119PAGE_4" localSheetId="48">'April 17'!$A$171:$N$223</definedName>
    <definedName name="_119PAGE_4" localSheetId="52">'April 18'!$A$171:$N$223</definedName>
    <definedName name="_119PAGE_4" localSheetId="35">'Jan 14'!$A$171:$N$224</definedName>
    <definedName name="_119PAGE_4" localSheetId="39">'Jan 15'!$A$171:$N$224</definedName>
    <definedName name="_119PAGE_4" localSheetId="43">'Jan 16'!$A$171:$N$224</definedName>
    <definedName name="_119PAGE_4" localSheetId="47">'Jan 17'!$A$171:$N$223</definedName>
    <definedName name="_119PAGE_4" localSheetId="51">'Jan 18'!$A$171:$N$223</definedName>
    <definedName name="_119PAGE_4" localSheetId="37">'July 14'!$A$171:$N$224</definedName>
    <definedName name="_119PAGE_4" localSheetId="41">'July 15'!$A$171:$N$224</definedName>
    <definedName name="_119PAGE_4" localSheetId="45">'July 16'!$A$171:$N$224</definedName>
    <definedName name="_119PAGE_4" localSheetId="49">'July 17'!$A$171:$N$223</definedName>
    <definedName name="_119PAGE_4" localSheetId="53">'July 18'!$A$171:$N$223</definedName>
    <definedName name="_119PAGE_4" localSheetId="38">'Oct 14'!$A$171:$N$224</definedName>
    <definedName name="_119PAGE_4" localSheetId="42">'Oct 15'!$A$171:$N$224</definedName>
    <definedName name="_119PAGE_4" localSheetId="46">'Oct 16'!$A$171:$N$224</definedName>
    <definedName name="_119PAGE_4" localSheetId="50">'Oct 17'!$A$171:$N$223</definedName>
    <definedName name="_119PAGE_4" localSheetId="54">'Oct 18'!$A$173:$N$225</definedName>
    <definedName name="_11PAGE_1" localSheetId="36">'April 14'!$A$1:$N$54</definedName>
    <definedName name="_11PAGE_1" localSheetId="40">'April 15'!$A$1:$N$54</definedName>
    <definedName name="_11PAGE_1" localSheetId="44">'April 16'!$A$1:$N$54</definedName>
    <definedName name="_11PAGE_1" localSheetId="48">'April 17'!$A$1:$N$54</definedName>
    <definedName name="_11PAGE_1" localSheetId="52">'April 18'!$A$1:$N$54</definedName>
    <definedName name="_11PAGE_1" localSheetId="35">'Jan 14'!$A$1:$N$54</definedName>
    <definedName name="_11PAGE_1" localSheetId="39">'Jan 15'!$A$1:$N$54</definedName>
    <definedName name="_11PAGE_1" localSheetId="43">'Jan 16'!$A$1:$N$54</definedName>
    <definedName name="_11PAGE_1" localSheetId="47">'Jan 17'!$A$1:$N$54</definedName>
    <definedName name="_11PAGE_1" localSheetId="51">'Jan 18'!$A$1:$N$54</definedName>
    <definedName name="_11PAGE_1" localSheetId="37">'July 14'!$A$1:$N$54</definedName>
    <definedName name="_11PAGE_1" localSheetId="41">'July 15'!$A$1:$N$54</definedName>
    <definedName name="_11PAGE_1" localSheetId="45">'July 16'!$A$1:$N$54</definedName>
    <definedName name="_11PAGE_1" localSheetId="49">'July 17'!$A$1:$N$54</definedName>
    <definedName name="_11PAGE_1" localSheetId="53">'July 18'!$A$1:$N$54</definedName>
    <definedName name="_11PAGE_1" localSheetId="38">'Oct 14'!$A$1:$N$54</definedName>
    <definedName name="_11PAGE_1" localSheetId="42">'Oct 15'!$A$1:$N$54</definedName>
    <definedName name="_11PAGE_1" localSheetId="46">'Oct 16'!$A$1:$N$54</definedName>
    <definedName name="_11PAGE_1" localSheetId="50">'Oct 17'!$A$1:$N$54</definedName>
    <definedName name="_11PAGE_1" localSheetId="54">'Oct 18'!$A$1:$N$54</definedName>
    <definedName name="_120PAGE_4" localSheetId="3">'Jan 2006'!$A$170:$N$223</definedName>
    <definedName name="_121PAGE_4" localSheetId="7">'Jan 2007'!$A$170:$N$223</definedName>
    <definedName name="_122PAGE_4" localSheetId="11">'Jan 2008'!$A$170:$N$223</definedName>
    <definedName name="_123PAGE_4" localSheetId="15">'Jan 2009'!$A$170:$N$223</definedName>
    <definedName name="_124PAGE_4" localSheetId="19">'Jan 2010'!$A$170:$N$223</definedName>
    <definedName name="_125PAGE_4" localSheetId="23">'Jan 2011'!$A$169:$N$222</definedName>
    <definedName name="_126PAGE_4" localSheetId="25">'July 11'!$A$169:$N$222</definedName>
    <definedName name="_127PAGE_4" localSheetId="29">'July 12'!$A$169:$N$222</definedName>
    <definedName name="_128PAGE_4" localSheetId="33">'July 13'!$A$171:$N$224</definedName>
    <definedName name="_129PAGE_4" localSheetId="1">'July 2005'!$A$168:$N$221</definedName>
    <definedName name="_12PAGE_1" localSheetId="3">'Jan 2006'!$A$1:$N$54</definedName>
    <definedName name="_130PAGE_4" localSheetId="5">'July 2006'!$A$170:$N$223</definedName>
    <definedName name="_131PAGE_4" localSheetId="9">'July 2007'!$A$170:$N$223</definedName>
    <definedName name="_132PAGE_4" localSheetId="13">'July 2008'!$A$170:$N$223</definedName>
    <definedName name="_133PAGE_4" localSheetId="17">'July 2009'!$A$170:$N$223</definedName>
    <definedName name="_134PAGE_4" localSheetId="21">'July 2010'!$A$169:$N$222</definedName>
    <definedName name="_135PAGE_4" localSheetId="26">'Oct 11'!$A$169:$N$222</definedName>
    <definedName name="_136PAGE_4" localSheetId="30">'Oct 12'!$A$169:$N$222</definedName>
    <definedName name="_137PAGE_4" localSheetId="34">'Oct 13'!$A$171:$N$224</definedName>
    <definedName name="_138PAGE_4" localSheetId="2">'Oct 2005'!$A$168:$N$221</definedName>
    <definedName name="_139PAGE_4" localSheetId="6">'Oct 2006'!$A$170:$N$223</definedName>
    <definedName name="_13PAGE_1" localSheetId="7">'Jan 2007'!$A$1:$N$54</definedName>
    <definedName name="_140PAGE_4" localSheetId="10">'Oct 2007'!$A$170:$N$223</definedName>
    <definedName name="_141PAGE_4" localSheetId="14">'Oct 2008'!$A$170:$N$223</definedName>
    <definedName name="_142PAGE_4" localSheetId="18">'Oct 2009'!$A$170:$N$223</definedName>
    <definedName name="_143PAGE_4" localSheetId="22">'Oct 2010'!$A$169:$N$222</definedName>
    <definedName name="_144PAGE_4">'April 2005'!$A$167:$N$218</definedName>
    <definedName name="_14PAGE_1" localSheetId="11">'Jan 2008'!$A$1:$N$54</definedName>
    <definedName name="_15PAGE_1" localSheetId="15">'Jan 2009'!$A$1:$N$54</definedName>
    <definedName name="_16PAGE_1" localSheetId="19">'Jan 2010'!$A$1:$N$54</definedName>
    <definedName name="_17PAGE_1" localSheetId="23">'Jan 2011'!$A$1:$N$54</definedName>
    <definedName name="_18PAGE_1" localSheetId="25">'July 11'!$A$1:$N$54</definedName>
    <definedName name="_19PAGE_1" localSheetId="29">'July 12'!$A$1:$N$54</definedName>
    <definedName name="_1PAGE_1" localSheetId="28">'April 12'!$A$1:$N$54</definedName>
    <definedName name="_20PAGE_1" localSheetId="33">'July 13'!$A$1:$N$54</definedName>
    <definedName name="_21PAGE_1" localSheetId="1">'July 2005'!$A$1:$N$54</definedName>
    <definedName name="_22PAGE_1" localSheetId="5">'July 2006'!$A$1:$N$54</definedName>
    <definedName name="_23PAGE_1" localSheetId="9">'July 2007'!$A$1:$N$54</definedName>
    <definedName name="_24PAGE_1" localSheetId="13">'July 2008'!$A$1:$N$54</definedName>
    <definedName name="_25PAGE_1" localSheetId="17">'July 2009'!$A$1:$N$54</definedName>
    <definedName name="_26PAGE_1" localSheetId="21">'July 2010'!$A$1:$N$54</definedName>
    <definedName name="_27PAGE_1" localSheetId="26">'Oct 11'!$A$1:$N$54</definedName>
    <definedName name="_28PAGE_1" localSheetId="30">'Oct 12'!$A$1:$N$54</definedName>
    <definedName name="_29PAGE_1" localSheetId="34">'Oct 13'!$A$1:$N$54</definedName>
    <definedName name="_2PAGE_1" localSheetId="32">'April 13'!$A$1:$N$54</definedName>
    <definedName name="_30PAGE_1" localSheetId="2">'Oct 2005'!$A$1:$N$54</definedName>
    <definedName name="_31PAGE_1" localSheetId="6">'Oct 2006'!$A$1:$N$54</definedName>
    <definedName name="_32PAGE_1" localSheetId="10">'Oct 2007'!$A$1:$N$54</definedName>
    <definedName name="_33PAGE_1" localSheetId="14">'Oct 2008'!$A$1:$N$54</definedName>
    <definedName name="_34PAGE_1" localSheetId="18">'Oct 2009'!$A$1:$N$54</definedName>
    <definedName name="_35PAGE_1" localSheetId="22">'Oct 2010'!$A$1:$N$54</definedName>
    <definedName name="_36PAGE_1">'April 2005'!$A$1:$N$53</definedName>
    <definedName name="_37PAGE_2" localSheetId="28">'April 12'!$A$55:$N$114</definedName>
    <definedName name="_38PAGE_2" localSheetId="32">'April 13'!$A$55:$N$114</definedName>
    <definedName name="_39PAGE_2" localSheetId="4">'April 2006'!$A$55:$N$115</definedName>
    <definedName name="_3PAGE_1" localSheetId="4">'April 2006'!$A$1:$N$54</definedName>
    <definedName name="_40PAGE_2" localSheetId="8">'April 2007'!$A$55:$N$115</definedName>
    <definedName name="_41PAGE_2" localSheetId="12">'April 2008'!$A$55:$N$115</definedName>
    <definedName name="_42PAGE_2" localSheetId="16">'April 2009'!$A$55:$N$115</definedName>
    <definedName name="_43PAGE_2" localSheetId="20">'April 2010'!$A$55:$N$115</definedName>
    <definedName name="_44PAGE_2" localSheetId="24">'April 2011'!$A$55:$N$114</definedName>
    <definedName name="_45PAGE_2" localSheetId="27">'Jan 12'!$A$55:$N$114</definedName>
    <definedName name="_46PAGE_2" localSheetId="31">'Jan 13'!$A$55:$N$114</definedName>
    <definedName name="_47PAGE_2" localSheetId="36">'April 14'!$A$55:$N$114</definedName>
    <definedName name="_47PAGE_2" localSheetId="40">'April 15'!$A$55:$N$114</definedName>
    <definedName name="_47PAGE_2" localSheetId="44">'April 16'!$A$55:$N$114</definedName>
    <definedName name="_47PAGE_2" localSheetId="48">'April 17'!$A$55:$N$114</definedName>
    <definedName name="_47PAGE_2" localSheetId="52">'April 18'!$A$55:$N$114</definedName>
    <definedName name="_47PAGE_2" localSheetId="35">'Jan 14'!$A$55:$N$114</definedName>
    <definedName name="_47PAGE_2" localSheetId="39">'Jan 15'!$A$55:$N$114</definedName>
    <definedName name="_47PAGE_2" localSheetId="43">'Jan 16'!$A$55:$N$114</definedName>
    <definedName name="_47PAGE_2" localSheetId="47">'Jan 17'!$A$55:$N$114</definedName>
    <definedName name="_47PAGE_2" localSheetId="51">'Jan 18'!$A$55:$N$114</definedName>
    <definedName name="_47PAGE_2" localSheetId="37">'July 14'!$A$55:$N$114</definedName>
    <definedName name="_47PAGE_2" localSheetId="41">'July 15'!$A$55:$N$114</definedName>
    <definedName name="_47PAGE_2" localSheetId="45">'July 16'!$A$55:$N$114</definedName>
    <definedName name="_47PAGE_2" localSheetId="49">'July 17'!$A$55:$N$114</definedName>
    <definedName name="_47PAGE_2" localSheetId="53">'July 18'!$A$55:$N$114</definedName>
    <definedName name="_47PAGE_2" localSheetId="38">'Oct 14'!$A$55:$N$114</definedName>
    <definedName name="_47PAGE_2" localSheetId="42">'Oct 15'!$A$55:$N$114</definedName>
    <definedName name="_47PAGE_2" localSheetId="46">'Oct 16'!$A$55:$N$114</definedName>
    <definedName name="_47PAGE_2" localSheetId="50">'Oct 17'!$A$55:$N$114</definedName>
    <definedName name="_47PAGE_2" localSheetId="54">'Oct 18'!$A$55:$N$115</definedName>
    <definedName name="_48PAGE_2" localSheetId="3">'Jan 2006'!$A$55:$N$115</definedName>
    <definedName name="_49PAGE_2" localSheetId="7">'Jan 2007'!$A$55:$N$115</definedName>
    <definedName name="_4PAGE_1" localSheetId="8">'April 2007'!$A$1:$N$54</definedName>
    <definedName name="_50PAGE_2" localSheetId="11">'Jan 2008'!$A$55:$N$115</definedName>
    <definedName name="_51PAGE_2" localSheetId="15">'Jan 2009'!$A$55:$N$115</definedName>
    <definedName name="_52PAGE_2" localSheetId="19">'Jan 2010'!$A$55:$N$115</definedName>
    <definedName name="_53PAGE_2" localSheetId="23">'Jan 2011'!$A$55:$N$114</definedName>
    <definedName name="_54PAGE_2" localSheetId="25">'July 11'!$A$55:$N$114</definedName>
    <definedName name="_55PAGE_2" localSheetId="29">'July 12'!$A$55:$N$114</definedName>
    <definedName name="_56PAGE_2" localSheetId="33">'July 13'!$A$55:$N$114</definedName>
    <definedName name="_57PAGE_2" localSheetId="1">'July 2005'!$A$55:$N$113</definedName>
    <definedName name="_58PAGE_2" localSheetId="5">'July 2006'!$A$55:$N$115</definedName>
    <definedName name="_59PAGE_2" localSheetId="9">'July 2007'!$A$55:$N$115</definedName>
    <definedName name="_5PAGE_1" localSheetId="12">'April 2008'!$A$1:$N$54</definedName>
    <definedName name="_60PAGE_2" localSheetId="13">'July 2008'!$A$55:$N$115</definedName>
    <definedName name="_61PAGE_2" localSheetId="17">'July 2009'!$A$55:$N$115</definedName>
    <definedName name="_62PAGE_2" localSheetId="21">'July 2010'!$A$55:$N$114</definedName>
    <definedName name="_63PAGE_2" localSheetId="26">'Oct 11'!$A$55:$N$114</definedName>
    <definedName name="_64PAGE_2" localSheetId="30">'Oct 12'!$A$55:$N$114</definedName>
    <definedName name="_65PAGE_2" localSheetId="34">'Oct 13'!$A$55:$N$114</definedName>
    <definedName name="_66PAGE_2" localSheetId="2">'Oct 2005'!$A$55:$N$113</definedName>
    <definedName name="_67PAGE_2" localSheetId="6">'Oct 2006'!$A$55:$N$115</definedName>
    <definedName name="_68PAGE_2" localSheetId="10">'Oct 2007'!$A$55:$N$115</definedName>
    <definedName name="_69PAGE_2" localSheetId="14">'Oct 2008'!$A$55:$N$115</definedName>
    <definedName name="_6PAGE_1" localSheetId="16">'April 2009'!$A$1:$N$54</definedName>
    <definedName name="_70PAGE_2" localSheetId="18">'Oct 2009'!$A$55:$N$115</definedName>
    <definedName name="_71PAGE_2" localSheetId="22">'Oct 2010'!$A$55:$N$114</definedName>
    <definedName name="_72PAGE_2">'April 2005'!$A$54:$N$112</definedName>
    <definedName name="_73PAGE_3" localSheetId="28">'April 12'!$A$115:$N$168</definedName>
    <definedName name="_74PAGE_3" localSheetId="32">'April 13'!$A$115:$N$170</definedName>
    <definedName name="_75PAGE_3" localSheetId="4">'April 2006'!$A$116:$N$169</definedName>
    <definedName name="_76PAGE_3" localSheetId="8">'April 2007'!$A$116:$N$169</definedName>
    <definedName name="_77PAGE_3" localSheetId="12">'April 2008'!$A$116:$N$169</definedName>
    <definedName name="_78PAGE_3" localSheetId="16">'April 2009'!$A$116:$N$169</definedName>
    <definedName name="_79PAGE_3" localSheetId="20">'April 2010'!$A$116:$N$169</definedName>
    <definedName name="_7PAGE_1" localSheetId="20">'April 2010'!$A$1:$N$54</definedName>
    <definedName name="_80PAGE_3" localSheetId="24">'April 2011'!$A$115:$N$168</definedName>
    <definedName name="_81PAGE_3" localSheetId="27">'Jan 12'!$A$115:$N$168</definedName>
    <definedName name="_82PAGE_3" localSheetId="31">'Jan 13'!$A$115:$N$170</definedName>
    <definedName name="_83PAGE_3" localSheetId="36">'April 14'!$A$115:$N$170</definedName>
    <definedName name="_83PAGE_3" localSheetId="40">'April 15'!$A$115:$N$170</definedName>
    <definedName name="_83PAGE_3" localSheetId="44">'April 16'!$A$115:$N$170</definedName>
    <definedName name="_83PAGE_3" localSheetId="48">'April 17'!$A$115:$N$170</definedName>
    <definedName name="_83PAGE_3" localSheetId="52">'April 18'!$A$115:$N$170</definedName>
    <definedName name="_83PAGE_3" localSheetId="35">'Jan 14'!$A$115:$N$170</definedName>
    <definedName name="_83PAGE_3" localSheetId="39">'Jan 15'!$A$115:$N$170</definedName>
    <definedName name="_83PAGE_3" localSheetId="43">'Jan 16'!$A$115:$N$170</definedName>
    <definedName name="_83PAGE_3" localSheetId="47">'Jan 17'!$A$115:$N$170</definedName>
    <definedName name="_83PAGE_3" localSheetId="51">'Jan 18'!$A$115:$N$170</definedName>
    <definedName name="_83PAGE_3" localSheetId="37">'July 14'!$A$115:$N$170</definedName>
    <definedName name="_83PAGE_3" localSheetId="41">'July 15'!$A$115:$N$170</definedName>
    <definedName name="_83PAGE_3" localSheetId="45">'July 16'!$A$115:$N$170</definedName>
    <definedName name="_83PAGE_3" localSheetId="49">'July 17'!$A$115:$N$170</definedName>
    <definedName name="_83PAGE_3" localSheetId="53">'July 18'!$A$115:$N$170</definedName>
    <definedName name="_83PAGE_3" localSheetId="38">'Oct 14'!$A$115:$N$170</definedName>
    <definedName name="_83PAGE_3" localSheetId="42">'Oct 15'!$A$115:$N$170</definedName>
    <definedName name="_83PAGE_3" localSheetId="46">'Oct 16'!$A$115:$N$170</definedName>
    <definedName name="_83PAGE_3" localSheetId="50">'Oct 17'!$A$115:$N$170</definedName>
    <definedName name="_83PAGE_3" localSheetId="54">'Oct 18'!$A$116:$N$172</definedName>
    <definedName name="_84PAGE_3" localSheetId="3">'Jan 2006'!$A$116:$N$169</definedName>
    <definedName name="_85PAGE_3" localSheetId="7">'Jan 2007'!$A$116:$N$169</definedName>
    <definedName name="_86PAGE_3" localSheetId="11">'Jan 2008'!$A$116:$N$169</definedName>
    <definedName name="_87PAGE_3" localSheetId="15">'Jan 2009'!$A$116:$N$169</definedName>
    <definedName name="_88PAGE_3" localSheetId="19">'Jan 2010'!$A$116:$N$169</definedName>
    <definedName name="_89PAGE_3" localSheetId="23">'Jan 2011'!$A$115:$N$168</definedName>
    <definedName name="_8PAGE_1" localSheetId="24">'April 2011'!$A$1:$N$54</definedName>
    <definedName name="_90PAGE_3" localSheetId="25">'July 11'!$A$115:$N$168</definedName>
    <definedName name="_91PAGE_3" localSheetId="29">'July 12'!$A$115:$N$168</definedName>
    <definedName name="_92PAGE_3" localSheetId="33">'July 13'!$A$115:$N$170</definedName>
    <definedName name="_93PAGE_3" localSheetId="1">'July 2005'!$A$114:$N$167</definedName>
    <definedName name="_94PAGE_3" localSheetId="5">'July 2006'!$A$116:$N$169</definedName>
    <definedName name="_95PAGE_3" localSheetId="9">'July 2007'!$A$116:$N$169</definedName>
    <definedName name="_96PAGE_3" localSheetId="13">'July 2008'!$A$116:$N$169</definedName>
    <definedName name="_97PAGE_3" localSheetId="17">'July 2009'!$A$116:$N$169</definedName>
    <definedName name="_98PAGE_3" localSheetId="21">'July 2010'!$A$115:$N$168</definedName>
    <definedName name="_99PAGE_3" localSheetId="26">'Oct 11'!$A$115:$N$168</definedName>
    <definedName name="_9PAGE_1" localSheetId="27">'Jan 12'!$A$1:$N$54</definedName>
    <definedName name="_xlnm.Print_Area" localSheetId="28">'April 12'!$A$1:$O$223</definedName>
    <definedName name="_xlnm.Print_Area" localSheetId="32">'April 13'!$A$1:$O$225</definedName>
    <definedName name="_xlnm.Print_Area" localSheetId="36">'April 14'!$A$1:$O$225</definedName>
    <definedName name="_xlnm.Print_Area" localSheetId="40">'April 15'!$A$1:$O$225</definedName>
    <definedName name="_xlnm.Print_Area" localSheetId="44">'April 16'!$A$1:$O$225</definedName>
    <definedName name="_xlnm.Print_Area" localSheetId="48">'April 17'!$A$1:$O$224</definedName>
    <definedName name="_xlnm.Print_Area" localSheetId="52">'April 18'!$A$1:$O$224</definedName>
    <definedName name="_xlnm.Print_Area" localSheetId="0">'April 2005'!$A$1:$O$219</definedName>
    <definedName name="_xlnm.Print_Area" localSheetId="4">'April 2006'!$A$1:$O$224</definedName>
    <definedName name="_xlnm.Print_Area" localSheetId="8">'April 2007'!$A$1:$O$224</definedName>
    <definedName name="_xlnm.Print_Area" localSheetId="12">'April 2008'!$A$1:$O$224</definedName>
    <definedName name="_xlnm.Print_Area" localSheetId="16">'April 2009'!$A$1:$O$224</definedName>
    <definedName name="_xlnm.Print_Area" localSheetId="20">'April 2010'!$A$1:$O$224</definedName>
    <definedName name="_xlnm.Print_Area" localSheetId="24">'April 2011'!$A$1:$O$223</definedName>
    <definedName name="_xlnm.Print_Area" localSheetId="27">'Jan 12'!$A$1:$O$223</definedName>
    <definedName name="_xlnm.Print_Area" localSheetId="31">'Jan 13'!$A$1:$O$225</definedName>
    <definedName name="_xlnm.Print_Area" localSheetId="35">'Jan 14'!$A$1:$O$225</definedName>
    <definedName name="_xlnm.Print_Area" localSheetId="39">'Jan 15'!$A$1:$O$225</definedName>
    <definedName name="_xlnm.Print_Area" localSheetId="43">'Jan 16'!$A$1:$O$225</definedName>
    <definedName name="_xlnm.Print_Area" localSheetId="47">'Jan 17'!$A$1:$O$224</definedName>
    <definedName name="_xlnm.Print_Area" localSheetId="51">'Jan 18'!$A$1:$O$224</definedName>
    <definedName name="_xlnm.Print_Area" localSheetId="3">'Jan 2006'!$A$1:$O$224</definedName>
    <definedName name="_xlnm.Print_Area" localSheetId="7">'Jan 2007'!$A$1:$O$224</definedName>
    <definedName name="_xlnm.Print_Area" localSheetId="11">'Jan 2008'!$A$1:$O$224</definedName>
    <definedName name="_xlnm.Print_Area" localSheetId="15">'Jan 2009'!$A$1:$O$224</definedName>
    <definedName name="_xlnm.Print_Area" localSheetId="19">'Jan 2010'!$A$1:$O$224</definedName>
    <definedName name="_xlnm.Print_Area" localSheetId="23">'Jan 2011'!$A$1:$O$223</definedName>
    <definedName name="_xlnm.Print_Area" localSheetId="25">'July 11'!$A$1:$O$223</definedName>
    <definedName name="_xlnm.Print_Area" localSheetId="29">'July 12'!$A$1:$O$223</definedName>
    <definedName name="_xlnm.Print_Area" localSheetId="33">'July 13'!$A$1:$O$225</definedName>
    <definedName name="_xlnm.Print_Area" localSheetId="37">'July 14'!$A$1:$O$225</definedName>
    <definedName name="_xlnm.Print_Area" localSheetId="41">'July 15'!$A$1:$O$225</definedName>
    <definedName name="_xlnm.Print_Area" localSheetId="45">'July 16'!$A$1:$O$225</definedName>
    <definedName name="_xlnm.Print_Area" localSheetId="49">'July 17'!$A$1:$O$224</definedName>
    <definedName name="_xlnm.Print_Area" localSheetId="53">'July 18'!$A$1:$O$224</definedName>
    <definedName name="_xlnm.Print_Area" localSheetId="1">'July 2005'!$A$1:$O$222</definedName>
    <definedName name="_xlnm.Print_Area" localSheetId="5">'July 2006'!$A$1:$O$224</definedName>
    <definedName name="_xlnm.Print_Area" localSheetId="9">'July 2007'!$A$1:$O$224</definedName>
    <definedName name="_xlnm.Print_Area" localSheetId="13">'July 2008'!$A$1:$O$224</definedName>
    <definedName name="_xlnm.Print_Area" localSheetId="17">'July 2009'!$A$1:$O$224</definedName>
    <definedName name="_xlnm.Print_Area" localSheetId="21">'July 2010'!$A$1:$O$223</definedName>
    <definedName name="_xlnm.Print_Area" localSheetId="26">'Oct 11'!$A$1:$O$223</definedName>
    <definedName name="_xlnm.Print_Area" localSheetId="30">'Oct 12'!$A$1:$O$223</definedName>
    <definedName name="_xlnm.Print_Area" localSheetId="34">'Oct 13'!$A$1:$O$225</definedName>
    <definedName name="_xlnm.Print_Area" localSheetId="38">'Oct 14'!$A$1:$O$225</definedName>
    <definedName name="_xlnm.Print_Area" localSheetId="42">'Oct 15'!$A$1:$O$225</definedName>
    <definedName name="_xlnm.Print_Area" localSheetId="46">'Oct 16'!$A$1:$O$225</definedName>
    <definedName name="_xlnm.Print_Area" localSheetId="50">'Oct 17'!$A$1:$O$224</definedName>
    <definedName name="_xlnm.Print_Area" localSheetId="54">'Oct 18'!$A$1:$O$226</definedName>
    <definedName name="_xlnm.Print_Area" localSheetId="2">'Oct 2005'!$A$1:$O$222</definedName>
    <definedName name="_xlnm.Print_Area" localSheetId="6">'Oct 2006'!$A$1:$O$224</definedName>
    <definedName name="_xlnm.Print_Area" localSheetId="10">'Oct 2007'!$A$1:$O$224</definedName>
    <definedName name="_xlnm.Print_Area" localSheetId="14">'Oct 2008'!$A$1:$O$224</definedName>
    <definedName name="_xlnm.Print_Area" localSheetId="18">'Oct 2009'!$A$1:$O$224</definedName>
    <definedName name="_xlnm.Print_Area" localSheetId="22">'Oct 2010'!$A$1:$O$223</definedName>
    <definedName name="_xlnm.Print_Area">'April 2005'!$A$1:$N$53</definedName>
  </definedNames>
  <calcPr calcId="179017"/>
</workbook>
</file>

<file path=xl/calcChain.xml><?xml version="1.0" encoding="utf-8"?>
<calcChain xmlns="http://schemas.openxmlformats.org/spreadsheetml/2006/main">
  <c r="K198" i="55" l="1"/>
  <c r="M86" i="55"/>
  <c r="M142" i="55"/>
  <c r="M131" i="55"/>
  <c r="M92" i="55"/>
  <c r="M88" i="55"/>
  <c r="M103" i="55"/>
  <c r="M81" i="55"/>
  <c r="K80" i="55"/>
  <c r="M137" i="1"/>
  <c r="K190" i="1"/>
  <c r="K191" i="1"/>
  <c r="M138" i="2"/>
  <c r="K191" i="2"/>
  <c r="K192" i="2"/>
  <c r="M138" i="3"/>
  <c r="K191" i="3"/>
  <c r="K192" i="3"/>
  <c r="M140" i="4"/>
  <c r="K193" i="4"/>
  <c r="K194" i="4"/>
  <c r="M140" i="5"/>
  <c r="K193" i="5"/>
  <c r="K194" i="5"/>
  <c r="M140" i="6"/>
  <c r="K193" i="6"/>
  <c r="K194" i="6"/>
  <c r="M140" i="7"/>
  <c r="K193" i="7"/>
  <c r="K194" i="7"/>
  <c r="M140" i="8"/>
  <c r="K193" i="8"/>
  <c r="K194" i="8"/>
  <c r="M140" i="9"/>
  <c r="K193" i="9"/>
  <c r="K194" i="9"/>
  <c r="M140" i="10"/>
  <c r="K193" i="10"/>
  <c r="K194" i="10"/>
  <c r="M139" i="11"/>
  <c r="M140" i="11"/>
  <c r="K193" i="11"/>
  <c r="K194" i="11"/>
  <c r="M139" i="12"/>
  <c r="M140" i="12"/>
  <c r="K193" i="12"/>
  <c r="K194" i="12"/>
  <c r="M139" i="13"/>
  <c r="M140" i="13"/>
  <c r="K193" i="13"/>
  <c r="K194" i="13"/>
  <c r="M139" i="14"/>
  <c r="M140" i="14"/>
  <c r="K193" i="14"/>
  <c r="K194" i="14"/>
  <c r="M139" i="15"/>
  <c r="M140" i="15"/>
  <c r="K193" i="15"/>
  <c r="K194" i="15"/>
  <c r="M139" i="16"/>
  <c r="M140" i="16"/>
  <c r="K193" i="16"/>
  <c r="K194" i="16"/>
  <c r="M139" i="17"/>
  <c r="M140" i="17"/>
  <c r="K193" i="17"/>
  <c r="K194" i="17"/>
  <c r="M139" i="18"/>
  <c r="M140" i="18"/>
  <c r="K193" i="18"/>
  <c r="K194" i="18"/>
  <c r="M139" i="19"/>
  <c r="M140" i="19"/>
  <c r="K193" i="19"/>
  <c r="K194" i="19"/>
  <c r="M139" i="20"/>
  <c r="M140" i="20"/>
  <c r="K193" i="20"/>
  <c r="K194" i="20"/>
  <c r="M139" i="21"/>
  <c r="M140" i="21"/>
  <c r="K193" i="21"/>
  <c r="K194" i="21"/>
  <c r="M138" i="22"/>
  <c r="M139" i="22"/>
  <c r="K192" i="22"/>
  <c r="K193" i="22"/>
  <c r="M138" i="23"/>
  <c r="M139" i="23"/>
  <c r="K192" i="23"/>
  <c r="K193" i="23"/>
  <c r="M138" i="24"/>
  <c r="M139" i="24"/>
  <c r="K192" i="24"/>
  <c r="K193" i="24"/>
  <c r="M138" i="25"/>
  <c r="M139" i="25"/>
  <c r="K192" i="25"/>
  <c r="K193" i="25"/>
  <c r="M138" i="26"/>
  <c r="M139" i="26"/>
  <c r="K192" i="26"/>
  <c r="K193" i="26"/>
  <c r="M138" i="27"/>
  <c r="M139" i="27"/>
  <c r="K192" i="27"/>
  <c r="K193" i="27"/>
  <c r="M138" i="28"/>
  <c r="M139" i="28"/>
  <c r="K192" i="28"/>
  <c r="K193" i="28"/>
  <c r="M138" i="29"/>
  <c r="M139" i="29"/>
  <c r="K192" i="29"/>
  <c r="K193" i="29"/>
  <c r="M138" i="30"/>
  <c r="M139" i="30"/>
  <c r="K192" i="30"/>
  <c r="K193" i="30"/>
  <c r="M138" i="31"/>
  <c r="M139" i="31"/>
  <c r="K192" i="31"/>
  <c r="K193" i="31"/>
  <c r="M140" i="32"/>
  <c r="M141" i="32"/>
  <c r="K194" i="32"/>
  <c r="K195" i="32"/>
  <c r="M140" i="33"/>
  <c r="M141" i="33"/>
  <c r="K194" i="33"/>
  <c r="K195" i="33"/>
  <c r="M140" i="34"/>
  <c r="M141" i="34"/>
  <c r="K194" i="34"/>
  <c r="K195" i="34"/>
  <c r="M140" i="35"/>
  <c r="M141" i="35"/>
  <c r="K194" i="35"/>
  <c r="K195" i="35"/>
  <c r="M140" i="36"/>
  <c r="M141" i="36"/>
  <c r="K194" i="36"/>
  <c r="K195" i="36"/>
  <c r="M140" i="37"/>
  <c r="M141" i="37"/>
  <c r="K194" i="37"/>
  <c r="K195" i="37"/>
  <c r="M140" i="38"/>
  <c r="M141" i="38"/>
  <c r="K194" i="38"/>
  <c r="K195" i="38"/>
  <c r="M140" i="39"/>
  <c r="M141" i="39"/>
  <c r="K194" i="39"/>
  <c r="K195" i="39"/>
  <c r="M140" i="40"/>
  <c r="M141" i="40"/>
  <c r="K194" i="40"/>
  <c r="K195" i="40"/>
  <c r="M140" i="41"/>
  <c r="M141" i="41"/>
  <c r="K194" i="41"/>
  <c r="K195" i="41"/>
  <c r="M140" i="42"/>
  <c r="M141" i="42"/>
  <c r="K194" i="42"/>
  <c r="K195" i="42"/>
  <c r="M140" i="43"/>
  <c r="M141" i="43"/>
  <c r="K194" i="43"/>
  <c r="K195" i="43"/>
  <c r="M140" i="44"/>
  <c r="M141" i="44"/>
  <c r="K194" i="44"/>
  <c r="K195" i="44"/>
  <c r="M140" i="45"/>
  <c r="M141" i="45"/>
  <c r="K194" i="45"/>
  <c r="K195" i="45"/>
  <c r="M140" i="46"/>
  <c r="M141" i="46"/>
  <c r="K194" i="46"/>
  <c r="K195" i="46"/>
  <c r="M140" i="47"/>
  <c r="M141" i="47"/>
  <c r="K194" i="47"/>
  <c r="K195" i="47"/>
  <c r="M140" i="48"/>
  <c r="M141" i="48"/>
  <c r="K194" i="48"/>
  <c r="K195" i="48"/>
  <c r="M140" i="49"/>
  <c r="M141" i="49"/>
  <c r="K194" i="49"/>
  <c r="K195" i="49"/>
  <c r="M140" i="50"/>
  <c r="M141" i="50"/>
  <c r="K194" i="50"/>
  <c r="K195" i="50"/>
  <c r="M140" i="51"/>
  <c r="M141" i="51"/>
  <c r="K194" i="51"/>
  <c r="K195" i="51"/>
  <c r="M140" i="52"/>
  <c r="M141" i="52"/>
  <c r="K194" i="52"/>
  <c r="K195" i="52"/>
  <c r="M140" i="53"/>
  <c r="M141" i="53"/>
  <c r="K194" i="53"/>
  <c r="K195" i="53"/>
  <c r="M140" i="54"/>
  <c r="M141" i="54"/>
  <c r="K194" i="54"/>
  <c r="K195" i="54"/>
  <c r="M143" i="55"/>
  <c r="K196" i="55"/>
  <c r="K197" i="55"/>
  <c r="K154" i="31"/>
  <c r="K154" i="32"/>
  <c r="K156" i="32"/>
  <c r="K154" i="33"/>
  <c r="K156" i="33"/>
  <c r="K154" i="34"/>
  <c r="K156" i="34"/>
  <c r="K154" i="35"/>
  <c r="K156" i="35"/>
  <c r="K154" i="36"/>
  <c r="K156" i="36"/>
  <c r="K154" i="37"/>
  <c r="K156" i="37"/>
  <c r="K154" i="38"/>
  <c r="K156" i="38"/>
  <c r="K154" i="39"/>
  <c r="K156" i="39"/>
  <c r="K154" i="41"/>
  <c r="K156" i="41"/>
  <c r="K154" i="42"/>
  <c r="K156" i="42"/>
  <c r="K154" i="43"/>
  <c r="K156" i="43"/>
  <c r="K154" i="45"/>
  <c r="K156" i="45"/>
  <c r="K154" i="46"/>
  <c r="K156" i="46"/>
  <c r="K154" i="47"/>
  <c r="K156" i="47"/>
  <c r="K154" i="48"/>
  <c r="K156" i="48"/>
  <c r="K154" i="49"/>
  <c r="K156" i="49"/>
  <c r="K154" i="50"/>
  <c r="K156" i="50"/>
  <c r="K154" i="51"/>
  <c r="K156" i="51"/>
  <c r="K154" i="53"/>
  <c r="K156" i="53"/>
  <c r="K154" i="54"/>
  <c r="K156" i="54"/>
  <c r="K156" i="55"/>
  <c r="I152" i="1"/>
  <c r="I151" i="2"/>
  <c r="I153" i="2"/>
  <c r="I151" i="3"/>
  <c r="I153" i="3"/>
  <c r="I153" i="4"/>
  <c r="I155" i="4"/>
  <c r="I153" i="5"/>
  <c r="I155" i="5"/>
  <c r="I153" i="6"/>
  <c r="I155" i="6"/>
  <c r="I153" i="7"/>
  <c r="I155" i="7"/>
  <c r="I153" i="8"/>
  <c r="I155" i="8"/>
  <c r="I153" i="9"/>
  <c r="I155" i="9"/>
  <c r="I153" i="10"/>
  <c r="I155" i="10"/>
  <c r="I153" i="11"/>
  <c r="I155" i="11"/>
  <c r="I153" i="12"/>
  <c r="I155" i="12"/>
  <c r="I153" i="13"/>
  <c r="I155" i="13"/>
  <c r="I153" i="14"/>
  <c r="I155" i="14"/>
  <c r="I153" i="15"/>
  <c r="I155" i="15"/>
  <c r="I153" i="16"/>
  <c r="I155" i="16"/>
  <c r="I153" i="17"/>
  <c r="I155" i="17"/>
  <c r="I153" i="18"/>
  <c r="I155" i="18"/>
  <c r="I153" i="19"/>
  <c r="I155" i="19"/>
  <c r="I153" i="20"/>
  <c r="I155" i="20"/>
  <c r="I153" i="21"/>
  <c r="I155" i="21"/>
  <c r="I152" i="22"/>
  <c r="I154" i="22"/>
  <c r="I152" i="23"/>
  <c r="I154" i="23"/>
  <c r="I152" i="24"/>
  <c r="I154" i="24"/>
  <c r="I152" i="25"/>
  <c r="I154" i="25"/>
  <c r="I152" i="26"/>
  <c r="I154" i="26"/>
  <c r="I152" i="27"/>
  <c r="I154" i="27"/>
  <c r="I152" i="28"/>
  <c r="I154" i="28"/>
  <c r="I152" i="29"/>
  <c r="I154" i="29"/>
  <c r="I152" i="30"/>
  <c r="I154" i="30"/>
  <c r="I152" i="31"/>
  <c r="I154" i="31"/>
  <c r="I154" i="32"/>
  <c r="I156" i="32"/>
  <c r="I154" i="33"/>
  <c r="I156" i="33"/>
  <c r="I154" i="34"/>
  <c r="I156" i="34"/>
  <c r="I154" i="35"/>
  <c r="I156" i="35"/>
  <c r="I154" i="36"/>
  <c r="I156" i="36"/>
  <c r="I154" i="37"/>
  <c r="I156" i="37"/>
  <c r="I154" i="38"/>
  <c r="I156" i="38"/>
  <c r="I154" i="39"/>
  <c r="I156" i="39"/>
  <c r="I154" i="40"/>
  <c r="I156" i="40"/>
  <c r="I154" i="41"/>
  <c r="I156" i="41"/>
  <c r="I154" i="42"/>
  <c r="I156" i="42"/>
  <c r="I154" i="43"/>
  <c r="I156" i="43"/>
  <c r="I154" i="44"/>
  <c r="I156" i="44"/>
  <c r="I154" i="45"/>
  <c r="I156" i="45"/>
  <c r="I154" i="46"/>
  <c r="I156" i="46"/>
  <c r="I154" i="47"/>
  <c r="I156" i="47"/>
  <c r="I154" i="48"/>
  <c r="I156" i="48"/>
  <c r="I154" i="49"/>
  <c r="I156" i="49"/>
  <c r="I154" i="50"/>
  <c r="I156" i="50"/>
  <c r="I154" i="51"/>
  <c r="I156" i="51"/>
  <c r="I154" i="52"/>
  <c r="I156" i="52"/>
  <c r="I154" i="53"/>
  <c r="I156" i="53"/>
  <c r="I154" i="54"/>
  <c r="I156" i="54"/>
  <c r="I156" i="55"/>
  <c r="K215" i="55"/>
  <c r="I215" i="55"/>
  <c r="J215" i="55"/>
  <c r="K193" i="2"/>
  <c r="K193" i="3"/>
  <c r="K195" i="4"/>
  <c r="K195" i="5"/>
  <c r="K195" i="6"/>
  <c r="K195" i="7"/>
  <c r="K195" i="8"/>
  <c r="K195" i="9"/>
  <c r="K195" i="10"/>
  <c r="K195" i="11"/>
  <c r="K195" i="12"/>
  <c r="K195" i="13"/>
  <c r="K195" i="14"/>
  <c r="K195" i="15"/>
  <c r="K195" i="16"/>
  <c r="K195" i="17"/>
  <c r="K195" i="18"/>
  <c r="K195" i="19"/>
  <c r="K195" i="20"/>
  <c r="K195" i="21"/>
  <c r="K194" i="22"/>
  <c r="K194" i="23"/>
  <c r="K194" i="24"/>
  <c r="K194" i="25"/>
  <c r="K194" i="26"/>
  <c r="K194" i="27"/>
  <c r="K194" i="28"/>
  <c r="K194" i="29"/>
  <c r="K194" i="30"/>
  <c r="K194" i="31"/>
  <c r="K196" i="32"/>
  <c r="K196" i="33"/>
  <c r="K196" i="34"/>
  <c r="K196" i="35"/>
  <c r="K196" i="36"/>
  <c r="K196" i="37"/>
  <c r="K196" i="38"/>
  <c r="K196" i="39"/>
  <c r="K196" i="40"/>
  <c r="K196" i="41"/>
  <c r="K196" i="42"/>
  <c r="K196" i="43"/>
  <c r="K196" i="44"/>
  <c r="K196" i="45"/>
  <c r="K196" i="46"/>
  <c r="K196" i="47"/>
  <c r="K196" i="48"/>
  <c r="K196" i="49"/>
  <c r="K196" i="50"/>
  <c r="K196" i="51"/>
  <c r="K196" i="52"/>
  <c r="K196" i="53"/>
  <c r="K194" i="55"/>
  <c r="K177" i="55"/>
  <c r="M157" i="55"/>
  <c r="K158" i="55"/>
  <c r="I158" i="55"/>
  <c r="M144" i="55"/>
  <c r="M129" i="55"/>
  <c r="B115" i="55"/>
  <c r="B172" i="55"/>
  <c r="B225" i="55"/>
  <c r="K106" i="55"/>
  <c r="K111" i="55"/>
  <c r="K105" i="55"/>
  <c r="K98" i="55"/>
  <c r="K87" i="55"/>
  <c r="K80" i="1"/>
  <c r="K83" i="1"/>
  <c r="K84" i="1"/>
  <c r="K85" i="1"/>
  <c r="K103" i="1"/>
  <c r="K108" i="1"/>
  <c r="K95" i="1"/>
  <c r="K109" i="1"/>
  <c r="K80" i="2"/>
  <c r="K81" i="2"/>
  <c r="K84" i="2"/>
  <c r="K85" i="2"/>
  <c r="K86" i="2"/>
  <c r="K104" i="2"/>
  <c r="K109" i="2"/>
  <c r="K96" i="2"/>
  <c r="K110" i="2"/>
  <c r="K80" i="3"/>
  <c r="K81" i="3"/>
  <c r="K84" i="3"/>
  <c r="K85" i="3"/>
  <c r="K86" i="3"/>
  <c r="K104" i="3"/>
  <c r="K109" i="3"/>
  <c r="K96" i="3"/>
  <c r="K110" i="3"/>
  <c r="K80" i="4"/>
  <c r="K81" i="4"/>
  <c r="K86" i="4"/>
  <c r="K87" i="4"/>
  <c r="K88" i="4"/>
  <c r="K106" i="4"/>
  <c r="K111" i="4"/>
  <c r="K98" i="4"/>
  <c r="K112" i="4"/>
  <c r="K80" i="5"/>
  <c r="K81" i="5"/>
  <c r="K86" i="5"/>
  <c r="K87" i="5"/>
  <c r="K88" i="5"/>
  <c r="K106" i="5"/>
  <c r="K111" i="5"/>
  <c r="K98" i="5"/>
  <c r="K112" i="5"/>
  <c r="K80" i="6"/>
  <c r="K81" i="6"/>
  <c r="K86" i="6"/>
  <c r="K87" i="6"/>
  <c r="K88" i="6"/>
  <c r="K106" i="6"/>
  <c r="K111" i="6"/>
  <c r="K98" i="6"/>
  <c r="K112" i="6"/>
  <c r="K80" i="7"/>
  <c r="K81" i="7"/>
  <c r="K86" i="7"/>
  <c r="K87" i="7"/>
  <c r="K88" i="7"/>
  <c r="K106" i="7"/>
  <c r="K111" i="7"/>
  <c r="K98" i="7"/>
  <c r="K112" i="7"/>
  <c r="K80" i="8"/>
  <c r="K81" i="8"/>
  <c r="K86" i="8"/>
  <c r="K87" i="8"/>
  <c r="K88" i="8"/>
  <c r="K106" i="8"/>
  <c r="K111" i="8"/>
  <c r="K98" i="8"/>
  <c r="K112" i="8"/>
  <c r="K80" i="9"/>
  <c r="K81" i="9"/>
  <c r="K86" i="9"/>
  <c r="K87" i="9"/>
  <c r="K88" i="9"/>
  <c r="K106" i="9"/>
  <c r="K111" i="9"/>
  <c r="K98" i="9"/>
  <c r="K112" i="9"/>
  <c r="K80" i="10"/>
  <c r="K81" i="10"/>
  <c r="K86" i="10"/>
  <c r="K87" i="10"/>
  <c r="K88" i="10"/>
  <c r="K106" i="10"/>
  <c r="K111" i="10"/>
  <c r="K98" i="10"/>
  <c r="K112" i="10"/>
  <c r="K80" i="11"/>
  <c r="K81" i="11"/>
  <c r="K86" i="11"/>
  <c r="K87" i="11"/>
  <c r="K88" i="11"/>
  <c r="K106" i="11"/>
  <c r="K111" i="11"/>
  <c r="K98" i="11"/>
  <c r="K112" i="11"/>
  <c r="K80" i="12"/>
  <c r="K81" i="12"/>
  <c r="K86" i="12"/>
  <c r="K87" i="12"/>
  <c r="K88" i="12"/>
  <c r="K106" i="12"/>
  <c r="K111" i="12"/>
  <c r="K98" i="12"/>
  <c r="K112" i="12"/>
  <c r="K80" i="13"/>
  <c r="K81" i="13"/>
  <c r="K86" i="13"/>
  <c r="K87" i="13"/>
  <c r="K88" i="13"/>
  <c r="K106" i="13"/>
  <c r="K111" i="13"/>
  <c r="K98" i="13"/>
  <c r="K112" i="13"/>
  <c r="K80" i="14"/>
  <c r="K81" i="14"/>
  <c r="K86" i="14"/>
  <c r="K87" i="14"/>
  <c r="K88" i="14"/>
  <c r="K106" i="14"/>
  <c r="K111" i="14"/>
  <c r="K98" i="14"/>
  <c r="K112" i="14"/>
  <c r="K80" i="15"/>
  <c r="K81" i="15"/>
  <c r="K86" i="15"/>
  <c r="K87" i="15"/>
  <c r="K88" i="15"/>
  <c r="K106" i="15"/>
  <c r="K111" i="15"/>
  <c r="K98" i="15"/>
  <c r="K112" i="15"/>
  <c r="K79" i="55"/>
  <c r="D78" i="55"/>
  <c r="M72" i="55"/>
  <c r="C72" i="55"/>
  <c r="K62" i="55"/>
  <c r="I62" i="55"/>
  <c r="G62" i="55"/>
  <c r="E62" i="55"/>
  <c r="E75" i="55"/>
  <c r="M60" i="55"/>
  <c r="M59" i="55"/>
  <c r="C59" i="55"/>
  <c r="M58" i="55"/>
  <c r="M62" i="55"/>
  <c r="C58" i="55"/>
  <c r="C62" i="55"/>
  <c r="C75" i="55"/>
  <c r="J49" i="55"/>
  <c r="J48" i="55"/>
  <c r="M42" i="55"/>
  <c r="G32" i="55"/>
  <c r="E32" i="55"/>
  <c r="C32" i="55"/>
  <c r="M32" i="55"/>
  <c r="G31" i="55"/>
  <c r="E31" i="55"/>
  <c r="C31" i="55"/>
  <c r="M31" i="55"/>
  <c r="M36" i="55"/>
  <c r="K180" i="55"/>
  <c r="M30" i="55"/>
  <c r="M119" i="55"/>
  <c r="I159" i="55"/>
  <c r="M111" i="55"/>
  <c r="M112" i="55"/>
  <c r="M145" i="55"/>
  <c r="M75" i="55"/>
  <c r="M151" i="55"/>
  <c r="M150" i="55"/>
  <c r="M158" i="55"/>
  <c r="K86" i="55"/>
  <c r="K88" i="55"/>
  <c r="K112" i="55"/>
  <c r="M156" i="55"/>
  <c r="M44" i="55"/>
  <c r="M91" i="54"/>
  <c r="M81" i="54"/>
  <c r="K80" i="54"/>
  <c r="K196" i="54"/>
  <c r="K213" i="54"/>
  <c r="L211" i="54"/>
  <c r="I213" i="54"/>
  <c r="J212" i="54"/>
  <c r="K192" i="54"/>
  <c r="K175" i="54"/>
  <c r="M155" i="54"/>
  <c r="M142" i="54"/>
  <c r="M127" i="54"/>
  <c r="M129" i="54"/>
  <c r="B114" i="54"/>
  <c r="B170" i="54"/>
  <c r="B223" i="54"/>
  <c r="K105" i="54"/>
  <c r="K110" i="54"/>
  <c r="K104" i="54"/>
  <c r="K97" i="54"/>
  <c r="K86" i="54"/>
  <c r="M85" i="54"/>
  <c r="M87" i="54"/>
  <c r="K185" i="54"/>
  <c r="K79" i="54"/>
  <c r="D78" i="54"/>
  <c r="M72" i="54"/>
  <c r="C72" i="54"/>
  <c r="K62" i="54"/>
  <c r="I62" i="54"/>
  <c r="G62" i="54"/>
  <c r="E62" i="54"/>
  <c r="E75" i="54"/>
  <c r="M60" i="54"/>
  <c r="M59" i="54"/>
  <c r="C59" i="54"/>
  <c r="M58" i="54"/>
  <c r="C58" i="54"/>
  <c r="C62" i="54"/>
  <c r="C75" i="54"/>
  <c r="J49" i="54"/>
  <c r="J48" i="54"/>
  <c r="M42" i="54"/>
  <c r="G32" i="54"/>
  <c r="E32" i="54"/>
  <c r="C32" i="54"/>
  <c r="G31" i="54"/>
  <c r="E31" i="54"/>
  <c r="C31" i="54"/>
  <c r="M31" i="54"/>
  <c r="M36" i="54"/>
  <c r="K177" i="54"/>
  <c r="K178" i="54"/>
  <c r="M30" i="54"/>
  <c r="M118" i="54"/>
  <c r="M62" i="54"/>
  <c r="M75" i="54"/>
  <c r="M149" i="54"/>
  <c r="M32" i="54"/>
  <c r="M43" i="54"/>
  <c r="L212" i="54"/>
  <c r="L208" i="54"/>
  <c r="L206" i="54"/>
  <c r="L210" i="54"/>
  <c r="L205" i="54"/>
  <c r="L207" i="54"/>
  <c r="L209" i="54"/>
  <c r="J205" i="54"/>
  <c r="J206" i="54"/>
  <c r="J207" i="54"/>
  <c r="J208" i="54"/>
  <c r="J209" i="54"/>
  <c r="J210" i="54"/>
  <c r="J211" i="54"/>
  <c r="J213" i="54"/>
  <c r="M156" i="54"/>
  <c r="K179" i="54"/>
  <c r="M163" i="54"/>
  <c r="M102" i="54"/>
  <c r="M110" i="54"/>
  <c r="M111" i="54"/>
  <c r="M165" i="54"/>
  <c r="M161" i="54"/>
  <c r="M143" i="54"/>
  <c r="I157" i="54"/>
  <c r="K85" i="54"/>
  <c r="K87" i="54"/>
  <c r="K111" i="54"/>
  <c r="M154" i="54"/>
  <c r="M44" i="54"/>
  <c r="K80" i="53"/>
  <c r="K185" i="53"/>
  <c r="M148" i="54"/>
  <c r="L213" i="54"/>
  <c r="M81" i="53"/>
  <c r="M85" i="53"/>
  <c r="M87" i="53"/>
  <c r="M91" i="53"/>
  <c r="M102" i="53"/>
  <c r="K213" i="53"/>
  <c r="L211" i="53"/>
  <c r="I213" i="53"/>
  <c r="J212" i="53"/>
  <c r="K192" i="53"/>
  <c r="K175" i="53"/>
  <c r="M155" i="53"/>
  <c r="M142" i="53"/>
  <c r="M127" i="53"/>
  <c r="M129" i="53"/>
  <c r="B114" i="53"/>
  <c r="B170" i="53"/>
  <c r="B223" i="53"/>
  <c r="K105" i="53"/>
  <c r="K110" i="53"/>
  <c r="K104" i="53"/>
  <c r="K97" i="53"/>
  <c r="K86" i="53"/>
  <c r="K79" i="53"/>
  <c r="D78" i="53"/>
  <c r="M72" i="53"/>
  <c r="C72" i="53"/>
  <c r="K62" i="53"/>
  <c r="I62" i="53"/>
  <c r="G62" i="53"/>
  <c r="E62" i="53"/>
  <c r="E75" i="53"/>
  <c r="M60" i="53"/>
  <c r="M58" i="53"/>
  <c r="M59" i="53"/>
  <c r="M62" i="53"/>
  <c r="C59" i="53"/>
  <c r="C58" i="53"/>
  <c r="C62" i="53"/>
  <c r="C75" i="53"/>
  <c r="J49" i="53"/>
  <c r="J48" i="53"/>
  <c r="M42" i="53"/>
  <c r="G32" i="53"/>
  <c r="E32" i="53"/>
  <c r="C32" i="53"/>
  <c r="G31" i="53"/>
  <c r="E31" i="53"/>
  <c r="C31" i="53"/>
  <c r="M31" i="53"/>
  <c r="M36" i="53"/>
  <c r="K177" i="53"/>
  <c r="K178" i="53"/>
  <c r="M30" i="53"/>
  <c r="M118" i="53"/>
  <c r="M32" i="53"/>
  <c r="M43" i="53"/>
  <c r="L212" i="53"/>
  <c r="L206" i="53"/>
  <c r="L208" i="53"/>
  <c r="L210" i="53"/>
  <c r="L205" i="53"/>
  <c r="L207" i="53"/>
  <c r="L209" i="53"/>
  <c r="J205" i="53"/>
  <c r="J206" i="53"/>
  <c r="J207" i="53"/>
  <c r="J208" i="53"/>
  <c r="J209" i="53"/>
  <c r="J210" i="53"/>
  <c r="J211" i="53"/>
  <c r="J213" i="53"/>
  <c r="M156" i="53"/>
  <c r="M75" i="53"/>
  <c r="M149" i="53"/>
  <c r="M148" i="53"/>
  <c r="K179" i="53"/>
  <c r="M163" i="53"/>
  <c r="M110" i="53"/>
  <c r="M111" i="53"/>
  <c r="M165" i="53"/>
  <c r="M161" i="53"/>
  <c r="M143" i="53"/>
  <c r="I157" i="53"/>
  <c r="K85" i="53"/>
  <c r="K87" i="53"/>
  <c r="K111" i="53"/>
  <c r="M154" i="53"/>
  <c r="M44" i="53"/>
  <c r="K105" i="52"/>
  <c r="K110" i="52"/>
  <c r="K80" i="52"/>
  <c r="L213" i="53"/>
  <c r="M91" i="52"/>
  <c r="M81" i="52"/>
  <c r="K154" i="52"/>
  <c r="M154" i="52"/>
  <c r="K213" i="52"/>
  <c r="L212" i="52"/>
  <c r="I213" i="52"/>
  <c r="J212" i="52"/>
  <c r="K192" i="52"/>
  <c r="K175" i="52"/>
  <c r="B114" i="52"/>
  <c r="B170" i="52"/>
  <c r="B223" i="52"/>
  <c r="M155" i="52"/>
  <c r="M142" i="52"/>
  <c r="M127" i="52"/>
  <c r="M129" i="52"/>
  <c r="K104" i="52"/>
  <c r="K97" i="52"/>
  <c r="K86" i="52"/>
  <c r="M85" i="52"/>
  <c r="M87" i="52"/>
  <c r="K185" i="52"/>
  <c r="K79" i="52"/>
  <c r="K85" i="52"/>
  <c r="K87" i="52"/>
  <c r="D78" i="52"/>
  <c r="M72" i="52"/>
  <c r="C72" i="52"/>
  <c r="K62" i="52"/>
  <c r="I62" i="52"/>
  <c r="G62" i="52"/>
  <c r="E62" i="52"/>
  <c r="E75" i="52"/>
  <c r="C58" i="52"/>
  <c r="C59" i="52"/>
  <c r="C62" i="52"/>
  <c r="C75" i="52"/>
  <c r="M60" i="52"/>
  <c r="M59" i="52"/>
  <c r="M58" i="52"/>
  <c r="M62" i="52"/>
  <c r="J49" i="52"/>
  <c r="J48" i="52"/>
  <c r="M42" i="52"/>
  <c r="G32" i="52"/>
  <c r="E32" i="52"/>
  <c r="C32" i="52"/>
  <c r="G31" i="52"/>
  <c r="E31" i="52"/>
  <c r="C31" i="52"/>
  <c r="M31" i="52"/>
  <c r="M36" i="52"/>
  <c r="K177" i="52"/>
  <c r="K178" i="52"/>
  <c r="M30" i="52"/>
  <c r="M118" i="52"/>
  <c r="J205" i="52"/>
  <c r="J208" i="52"/>
  <c r="J206" i="52"/>
  <c r="J210" i="52"/>
  <c r="J207" i="52"/>
  <c r="J209" i="52"/>
  <c r="J211" i="52"/>
  <c r="J213" i="52"/>
  <c r="M32" i="52"/>
  <c r="M43" i="52"/>
  <c r="M148" i="52"/>
  <c r="M75" i="52"/>
  <c r="M149" i="52"/>
  <c r="K111" i="52"/>
  <c r="M165" i="52"/>
  <c r="M161" i="52"/>
  <c r="K179" i="52"/>
  <c r="M163" i="52"/>
  <c r="M102" i="52"/>
  <c r="M110" i="52"/>
  <c r="M111" i="52"/>
  <c r="M44" i="52"/>
  <c r="M143" i="52"/>
  <c r="K156" i="52"/>
  <c r="M156" i="52"/>
  <c r="L205" i="52"/>
  <c r="L206" i="52"/>
  <c r="L207" i="52"/>
  <c r="L208" i="52"/>
  <c r="L209" i="52"/>
  <c r="L210" i="52"/>
  <c r="L211" i="52"/>
  <c r="M91" i="51"/>
  <c r="M81" i="51"/>
  <c r="K80" i="51"/>
  <c r="L213" i="52"/>
  <c r="I157" i="52"/>
  <c r="K213" i="51"/>
  <c r="L211" i="51"/>
  <c r="I213" i="51"/>
  <c r="J212" i="51"/>
  <c r="J210" i="51"/>
  <c r="J209" i="51"/>
  <c r="L208" i="51"/>
  <c r="J208" i="51"/>
  <c r="L207" i="51"/>
  <c r="J207" i="51"/>
  <c r="L206" i="51"/>
  <c r="J206" i="51"/>
  <c r="L205" i="51"/>
  <c r="J205" i="51"/>
  <c r="K192" i="51"/>
  <c r="K175" i="51"/>
  <c r="M155" i="51"/>
  <c r="M142" i="51"/>
  <c r="M127" i="51"/>
  <c r="M129" i="51"/>
  <c r="B114" i="51"/>
  <c r="B170" i="51"/>
  <c r="B223" i="51"/>
  <c r="K105" i="51"/>
  <c r="K110" i="51"/>
  <c r="K104" i="51"/>
  <c r="K97" i="51"/>
  <c r="K86" i="51"/>
  <c r="M85" i="51"/>
  <c r="M87" i="51"/>
  <c r="K185" i="51"/>
  <c r="K79" i="51"/>
  <c r="D78" i="51"/>
  <c r="M72" i="51"/>
  <c r="C72" i="51"/>
  <c r="K62" i="51"/>
  <c r="I62" i="51"/>
  <c r="G62" i="51"/>
  <c r="E62" i="51"/>
  <c r="E75" i="51"/>
  <c r="M60" i="51"/>
  <c r="M59" i="51"/>
  <c r="C59" i="51"/>
  <c r="M58" i="51"/>
  <c r="C58" i="51"/>
  <c r="C62" i="51"/>
  <c r="C75" i="51"/>
  <c r="J49" i="51"/>
  <c r="J48" i="51"/>
  <c r="M42" i="51"/>
  <c r="G32" i="51"/>
  <c r="E32" i="51"/>
  <c r="C32" i="51"/>
  <c r="G31" i="51"/>
  <c r="E31" i="51"/>
  <c r="C31" i="51"/>
  <c r="M31" i="51"/>
  <c r="M36" i="51"/>
  <c r="K177" i="51"/>
  <c r="K178" i="51"/>
  <c r="M30" i="51"/>
  <c r="M118" i="51"/>
  <c r="M62" i="51"/>
  <c r="M75" i="51"/>
  <c r="M149" i="51"/>
  <c r="M32" i="51"/>
  <c r="M43" i="51"/>
  <c r="L209" i="51"/>
  <c r="L212" i="51"/>
  <c r="L210" i="51"/>
  <c r="L213" i="51"/>
  <c r="J211" i="51"/>
  <c r="J213" i="51"/>
  <c r="M156" i="51"/>
  <c r="K179" i="51"/>
  <c r="M163" i="51"/>
  <c r="M102" i="51"/>
  <c r="M110" i="51"/>
  <c r="M111" i="51"/>
  <c r="M165" i="51"/>
  <c r="M161" i="51"/>
  <c r="M143" i="51"/>
  <c r="I157" i="51"/>
  <c r="K85" i="51"/>
  <c r="K87" i="51"/>
  <c r="K111" i="51"/>
  <c r="M154" i="51"/>
  <c r="M44" i="51"/>
  <c r="M148" i="51"/>
  <c r="M91" i="50"/>
  <c r="M81" i="50"/>
  <c r="K80" i="50"/>
  <c r="K213" i="50"/>
  <c r="L211" i="50"/>
  <c r="I213" i="50"/>
  <c r="J212" i="50"/>
  <c r="K192" i="50"/>
  <c r="K175" i="50"/>
  <c r="M155" i="50"/>
  <c r="M142" i="50"/>
  <c r="M127" i="50"/>
  <c r="M129" i="50"/>
  <c r="B114" i="50"/>
  <c r="B170" i="50"/>
  <c r="B223" i="50"/>
  <c r="K105" i="50"/>
  <c r="K110" i="50"/>
  <c r="K104" i="50"/>
  <c r="K97" i="50"/>
  <c r="K86" i="50"/>
  <c r="M85" i="50"/>
  <c r="M87" i="50"/>
  <c r="K185" i="50"/>
  <c r="K79" i="50"/>
  <c r="D78" i="50"/>
  <c r="M72" i="50"/>
  <c r="C72" i="50"/>
  <c r="K62" i="50"/>
  <c r="I62" i="50"/>
  <c r="G62" i="50"/>
  <c r="E62" i="50"/>
  <c r="E75" i="50"/>
  <c r="M60" i="50"/>
  <c r="M59" i="50"/>
  <c r="C59" i="50"/>
  <c r="M58" i="50"/>
  <c r="C58" i="50"/>
  <c r="C62" i="50"/>
  <c r="C75" i="50"/>
  <c r="J49" i="50"/>
  <c r="J48" i="50"/>
  <c r="M42" i="50"/>
  <c r="G32" i="50"/>
  <c r="E32" i="50"/>
  <c r="C32" i="50"/>
  <c r="M32" i="50"/>
  <c r="G31" i="50"/>
  <c r="E31" i="50"/>
  <c r="C31" i="50"/>
  <c r="M31" i="50"/>
  <c r="M36" i="50"/>
  <c r="K177" i="50"/>
  <c r="K178" i="50"/>
  <c r="M30" i="50"/>
  <c r="M118" i="50"/>
  <c r="L212" i="50"/>
  <c r="L206" i="50"/>
  <c r="L208" i="50"/>
  <c r="L210" i="50"/>
  <c r="L205" i="50"/>
  <c r="L207" i="50"/>
  <c r="L209" i="50"/>
  <c r="J205" i="50"/>
  <c r="J206" i="50"/>
  <c r="J207" i="50"/>
  <c r="J208" i="50"/>
  <c r="J209" i="50"/>
  <c r="J210" i="50"/>
  <c r="J211" i="50"/>
  <c r="J213" i="50"/>
  <c r="M62" i="50"/>
  <c r="M75" i="50"/>
  <c r="M149" i="50"/>
  <c r="M43" i="50"/>
  <c r="M156" i="50"/>
  <c r="K179" i="50"/>
  <c r="M163" i="50"/>
  <c r="M102" i="50"/>
  <c r="M110" i="50"/>
  <c r="M111" i="50"/>
  <c r="M165" i="50"/>
  <c r="M161" i="50"/>
  <c r="M143" i="50"/>
  <c r="I157" i="50"/>
  <c r="K85" i="50"/>
  <c r="K87" i="50"/>
  <c r="K111" i="50"/>
  <c r="M154" i="50"/>
  <c r="M44" i="50"/>
  <c r="K213" i="49"/>
  <c r="L213" i="50"/>
  <c r="M148" i="50"/>
  <c r="M91" i="49"/>
  <c r="M81" i="49"/>
  <c r="M85" i="49"/>
  <c r="M87" i="49"/>
  <c r="M102" i="49"/>
  <c r="M110" i="49"/>
  <c r="K79" i="49"/>
  <c r="K80" i="49"/>
  <c r="K85" i="49"/>
  <c r="K86" i="49"/>
  <c r="K87" i="49"/>
  <c r="K105" i="49"/>
  <c r="K110" i="49"/>
  <c r="K97" i="49"/>
  <c r="K111" i="49"/>
  <c r="M154" i="49"/>
  <c r="L212" i="49"/>
  <c r="I213" i="49"/>
  <c r="J212" i="49"/>
  <c r="K192" i="49"/>
  <c r="K175" i="49"/>
  <c r="B114" i="49"/>
  <c r="B170" i="49"/>
  <c r="B223" i="49"/>
  <c r="M155" i="49"/>
  <c r="M142" i="49"/>
  <c r="M127" i="49"/>
  <c r="M129" i="49"/>
  <c r="K104" i="49"/>
  <c r="K185" i="49"/>
  <c r="D78" i="49"/>
  <c r="M72" i="49"/>
  <c r="C72" i="49"/>
  <c r="K62" i="49"/>
  <c r="I62" i="49"/>
  <c r="G62" i="49"/>
  <c r="E62" i="49"/>
  <c r="E75" i="49"/>
  <c r="C58" i="49"/>
  <c r="C59" i="49"/>
  <c r="C62" i="49"/>
  <c r="C75" i="49"/>
  <c r="M60" i="49"/>
  <c r="M59" i="49"/>
  <c r="M58" i="49"/>
  <c r="M62" i="49"/>
  <c r="J49" i="49"/>
  <c r="J48" i="49"/>
  <c r="M42" i="49"/>
  <c r="G32" i="49"/>
  <c r="E32" i="49"/>
  <c r="C32" i="49"/>
  <c r="G31" i="49"/>
  <c r="E31" i="49"/>
  <c r="C31" i="49"/>
  <c r="M31" i="49"/>
  <c r="M36" i="49"/>
  <c r="K177" i="49"/>
  <c r="K178" i="49"/>
  <c r="M30" i="49"/>
  <c r="M118" i="49"/>
  <c r="M43" i="49"/>
  <c r="M32" i="49"/>
  <c r="J205" i="49"/>
  <c r="J209" i="49"/>
  <c r="J207" i="49"/>
  <c r="J211" i="49"/>
  <c r="J206" i="49"/>
  <c r="J208" i="49"/>
  <c r="J210" i="49"/>
  <c r="M148" i="49"/>
  <c r="M75" i="49"/>
  <c r="M149" i="49"/>
  <c r="M165" i="49"/>
  <c r="M161" i="49"/>
  <c r="K179" i="49"/>
  <c r="M163" i="49"/>
  <c r="M111" i="49"/>
  <c r="M44" i="49"/>
  <c r="M143" i="49"/>
  <c r="M156" i="49"/>
  <c r="L205" i="49"/>
  <c r="L206" i="49"/>
  <c r="L207" i="49"/>
  <c r="L208" i="49"/>
  <c r="L209" i="49"/>
  <c r="L210" i="49"/>
  <c r="L211" i="49"/>
  <c r="M91" i="48"/>
  <c r="M81" i="48"/>
  <c r="K80" i="48"/>
  <c r="J213" i="49"/>
  <c r="L213" i="49"/>
  <c r="I157" i="49"/>
  <c r="K213" i="48"/>
  <c r="L212" i="48"/>
  <c r="I213" i="48"/>
  <c r="J212" i="48"/>
  <c r="J211" i="48"/>
  <c r="J209" i="48"/>
  <c r="K192" i="48"/>
  <c r="K175" i="48"/>
  <c r="M155" i="48"/>
  <c r="M142" i="48"/>
  <c r="M127" i="48"/>
  <c r="M129" i="48"/>
  <c r="B114" i="48"/>
  <c r="B170" i="48"/>
  <c r="B223" i="48"/>
  <c r="K105" i="48"/>
  <c r="K110" i="48"/>
  <c r="K104" i="48"/>
  <c r="K97" i="48"/>
  <c r="K86" i="48"/>
  <c r="M85" i="48"/>
  <c r="M87" i="48"/>
  <c r="K185" i="48"/>
  <c r="K79" i="48"/>
  <c r="D78" i="48"/>
  <c r="M72" i="48"/>
  <c r="C72" i="48"/>
  <c r="K62" i="48"/>
  <c r="I62" i="48"/>
  <c r="G62" i="48"/>
  <c r="E62" i="48"/>
  <c r="E75" i="48"/>
  <c r="M60" i="48"/>
  <c r="M59" i="48"/>
  <c r="C59" i="48"/>
  <c r="M58" i="48"/>
  <c r="C58" i="48"/>
  <c r="J49" i="48"/>
  <c r="J48" i="48"/>
  <c r="M42" i="48"/>
  <c r="G32" i="48"/>
  <c r="E32" i="48"/>
  <c r="C32" i="48"/>
  <c r="G31" i="48"/>
  <c r="E31" i="48"/>
  <c r="C31" i="48"/>
  <c r="M30" i="48"/>
  <c r="M118" i="48"/>
  <c r="M32" i="48"/>
  <c r="L208" i="48"/>
  <c r="L209" i="48"/>
  <c r="L211" i="48"/>
  <c r="L206" i="48"/>
  <c r="L205" i="48"/>
  <c r="L207" i="48"/>
  <c r="J205" i="48"/>
  <c r="J207" i="48"/>
  <c r="M43" i="48"/>
  <c r="C62" i="48"/>
  <c r="C75" i="48"/>
  <c r="M62" i="48"/>
  <c r="M75" i="48"/>
  <c r="M149" i="48"/>
  <c r="L210" i="48"/>
  <c r="M156" i="48"/>
  <c r="M31" i="48"/>
  <c r="M36" i="48"/>
  <c r="K177" i="48"/>
  <c r="K178" i="48"/>
  <c r="J206" i="48"/>
  <c r="J208" i="48"/>
  <c r="J210" i="48"/>
  <c r="K179" i="48"/>
  <c r="M163" i="48"/>
  <c r="M102" i="48"/>
  <c r="M110" i="48"/>
  <c r="M111" i="48"/>
  <c r="M165" i="48"/>
  <c r="M161" i="48"/>
  <c r="M143" i="48"/>
  <c r="I157" i="48"/>
  <c r="K85" i="48"/>
  <c r="K87" i="48"/>
  <c r="K111" i="48"/>
  <c r="M154" i="48"/>
  <c r="M44" i="48"/>
  <c r="M148" i="48"/>
  <c r="L213" i="48"/>
  <c r="J213" i="48"/>
  <c r="C31" i="47"/>
  <c r="E31" i="47"/>
  <c r="G31" i="47"/>
  <c r="M31" i="47"/>
  <c r="M36" i="47"/>
  <c r="M91" i="47"/>
  <c r="M81" i="47"/>
  <c r="K80" i="47"/>
  <c r="K213" i="47"/>
  <c r="L211" i="47"/>
  <c r="I213" i="47"/>
  <c r="J211" i="47"/>
  <c r="J212" i="47"/>
  <c r="J209" i="47"/>
  <c r="J208" i="47"/>
  <c r="J206" i="47"/>
  <c r="K192" i="47"/>
  <c r="K175" i="47"/>
  <c r="M155" i="47"/>
  <c r="M142" i="47"/>
  <c r="M127" i="47"/>
  <c r="M129" i="47"/>
  <c r="B114" i="47"/>
  <c r="B170" i="47"/>
  <c r="B224" i="47"/>
  <c r="K105" i="47"/>
  <c r="K110" i="47"/>
  <c r="K104" i="47"/>
  <c r="K97" i="47"/>
  <c r="K86" i="47"/>
  <c r="M85" i="47"/>
  <c r="M87" i="47"/>
  <c r="K185" i="47"/>
  <c r="D78" i="47"/>
  <c r="M72" i="47"/>
  <c r="C72" i="47"/>
  <c r="K62" i="47"/>
  <c r="I62" i="47"/>
  <c r="G62" i="47"/>
  <c r="E62" i="47"/>
  <c r="E75" i="47"/>
  <c r="M60" i="47"/>
  <c r="M59" i="47"/>
  <c r="C59" i="47"/>
  <c r="M58" i="47"/>
  <c r="C58" i="47"/>
  <c r="C62" i="47"/>
  <c r="C75" i="47"/>
  <c r="J49" i="47"/>
  <c r="J48" i="47"/>
  <c r="M42" i="47"/>
  <c r="G32" i="47"/>
  <c r="E32" i="47"/>
  <c r="C32" i="47"/>
  <c r="M30" i="47"/>
  <c r="M118" i="47"/>
  <c r="M62" i="47"/>
  <c r="M75" i="47"/>
  <c r="M149" i="47"/>
  <c r="M43" i="47"/>
  <c r="L206" i="47"/>
  <c r="L208" i="47"/>
  <c r="L210" i="47"/>
  <c r="L212" i="47"/>
  <c r="J205" i="47"/>
  <c r="J207" i="47"/>
  <c r="J210" i="47"/>
  <c r="M32" i="47"/>
  <c r="L205" i="47"/>
  <c r="L207" i="47"/>
  <c r="L209" i="47"/>
  <c r="K177" i="47"/>
  <c r="K178" i="47"/>
  <c r="M143" i="47"/>
  <c r="K179" i="47"/>
  <c r="M163" i="47"/>
  <c r="M102" i="47"/>
  <c r="M110" i="47"/>
  <c r="M111" i="47"/>
  <c r="M165" i="47"/>
  <c r="M161" i="47"/>
  <c r="M44" i="47"/>
  <c r="M148" i="47"/>
  <c r="J213" i="47"/>
  <c r="L213" i="47"/>
  <c r="M91" i="46"/>
  <c r="M81" i="46"/>
  <c r="K80" i="46"/>
  <c r="K213" i="46"/>
  <c r="L212" i="46"/>
  <c r="I213" i="46"/>
  <c r="J212" i="46"/>
  <c r="K192" i="46"/>
  <c r="K175" i="46"/>
  <c r="M155" i="46"/>
  <c r="M142" i="46"/>
  <c r="M127" i="46"/>
  <c r="M129" i="46"/>
  <c r="B114" i="46"/>
  <c r="B170" i="46"/>
  <c r="B224" i="46"/>
  <c r="K105" i="46"/>
  <c r="K110" i="46"/>
  <c r="K104" i="46"/>
  <c r="K97" i="46"/>
  <c r="K86" i="46"/>
  <c r="M85" i="46"/>
  <c r="M87" i="46"/>
  <c r="K185" i="46"/>
  <c r="D78" i="46"/>
  <c r="M72" i="46"/>
  <c r="C72" i="46"/>
  <c r="K62" i="46"/>
  <c r="I62" i="46"/>
  <c r="G62" i="46"/>
  <c r="E62" i="46"/>
  <c r="E75" i="46"/>
  <c r="C58" i="46"/>
  <c r="C59" i="46"/>
  <c r="C62" i="46"/>
  <c r="C75" i="46"/>
  <c r="M60" i="46"/>
  <c r="M59" i="46"/>
  <c r="M58" i="46"/>
  <c r="M62" i="46"/>
  <c r="J49" i="46"/>
  <c r="J48" i="46"/>
  <c r="M42" i="46"/>
  <c r="G32" i="46"/>
  <c r="E32" i="46"/>
  <c r="C32" i="46"/>
  <c r="G31" i="46"/>
  <c r="E31" i="46"/>
  <c r="C31" i="46"/>
  <c r="M30" i="46"/>
  <c r="M118" i="46"/>
  <c r="M31" i="46"/>
  <c r="J205" i="46"/>
  <c r="J209" i="46"/>
  <c r="J207" i="46"/>
  <c r="J211" i="46"/>
  <c r="J206" i="46"/>
  <c r="J208" i="46"/>
  <c r="J210" i="46"/>
  <c r="M32" i="46"/>
  <c r="M43" i="46"/>
  <c r="M148" i="46"/>
  <c r="M75" i="46"/>
  <c r="M149" i="46"/>
  <c r="M165" i="46"/>
  <c r="M161" i="46"/>
  <c r="K179" i="46"/>
  <c r="M163" i="46"/>
  <c r="M102" i="46"/>
  <c r="M110" i="46"/>
  <c r="M111" i="46"/>
  <c r="M44" i="46"/>
  <c r="M143" i="46"/>
  <c r="L205" i="46"/>
  <c r="L206" i="46"/>
  <c r="L207" i="46"/>
  <c r="L208" i="46"/>
  <c r="L209" i="46"/>
  <c r="L210" i="46"/>
  <c r="L211" i="46"/>
  <c r="M36" i="46"/>
  <c r="K177" i="46"/>
  <c r="K178" i="46"/>
  <c r="J213" i="46"/>
  <c r="L213" i="46"/>
  <c r="K80" i="45"/>
  <c r="M91" i="45"/>
  <c r="M81" i="45"/>
  <c r="K213" i="45"/>
  <c r="L212" i="45"/>
  <c r="I213" i="45"/>
  <c r="J212" i="45"/>
  <c r="K192" i="45"/>
  <c r="K175" i="45"/>
  <c r="M155" i="45"/>
  <c r="M142" i="45"/>
  <c r="M127" i="45"/>
  <c r="M129" i="45"/>
  <c r="B114" i="45"/>
  <c r="B170" i="45"/>
  <c r="B224" i="45"/>
  <c r="K105" i="45"/>
  <c r="K110" i="45"/>
  <c r="K104" i="45"/>
  <c r="K97" i="45"/>
  <c r="K86" i="45"/>
  <c r="M85" i="45"/>
  <c r="M87" i="45"/>
  <c r="K185" i="45"/>
  <c r="D78" i="45"/>
  <c r="M72" i="45"/>
  <c r="C72" i="45"/>
  <c r="K62" i="45"/>
  <c r="I62" i="45"/>
  <c r="G62" i="45"/>
  <c r="E62" i="45"/>
  <c r="E75" i="45"/>
  <c r="M60" i="45"/>
  <c r="M59" i="45"/>
  <c r="C59" i="45"/>
  <c r="M58" i="45"/>
  <c r="C58" i="45"/>
  <c r="C62" i="45"/>
  <c r="C75" i="45"/>
  <c r="J49" i="45"/>
  <c r="J48" i="45"/>
  <c r="M42" i="45"/>
  <c r="G32" i="45"/>
  <c r="E32" i="45"/>
  <c r="C32" i="45"/>
  <c r="G31" i="45"/>
  <c r="E31" i="45"/>
  <c r="C31" i="45"/>
  <c r="M31" i="45"/>
  <c r="M30" i="45"/>
  <c r="M44" i="45"/>
  <c r="M36" i="45"/>
  <c r="K177" i="45"/>
  <c r="K178" i="45"/>
  <c r="J209" i="45"/>
  <c r="M118" i="45"/>
  <c r="M32" i="45"/>
  <c r="J205" i="45"/>
  <c r="M62" i="45"/>
  <c r="M75" i="45"/>
  <c r="M149" i="45"/>
  <c r="M43" i="45"/>
  <c r="J207" i="45"/>
  <c r="J211" i="45"/>
  <c r="J206" i="45"/>
  <c r="J208" i="45"/>
  <c r="J210" i="45"/>
  <c r="M165" i="45"/>
  <c r="M161" i="45"/>
  <c r="K179" i="45"/>
  <c r="M163" i="45"/>
  <c r="M102" i="45"/>
  <c r="M110" i="45"/>
  <c r="M111" i="45"/>
  <c r="M143" i="45"/>
  <c r="L205" i="45"/>
  <c r="L206" i="45"/>
  <c r="L207" i="45"/>
  <c r="L208" i="45"/>
  <c r="L209" i="45"/>
  <c r="L210" i="45"/>
  <c r="L211" i="45"/>
  <c r="M148" i="45"/>
  <c r="J213" i="45"/>
  <c r="L213" i="45"/>
  <c r="K80" i="44"/>
  <c r="M42" i="44"/>
  <c r="M91" i="44"/>
  <c r="M81" i="44"/>
  <c r="K213" i="44"/>
  <c r="L212" i="44"/>
  <c r="I213" i="44"/>
  <c r="J212" i="44"/>
  <c r="L211" i="44"/>
  <c r="J211" i="44"/>
  <c r="L209" i="44"/>
  <c r="J209" i="44"/>
  <c r="J208" i="44"/>
  <c r="L207" i="44"/>
  <c r="J207" i="44"/>
  <c r="J206" i="44"/>
  <c r="L205" i="44"/>
  <c r="J205" i="44"/>
  <c r="K192" i="44"/>
  <c r="K175" i="44"/>
  <c r="M155" i="44"/>
  <c r="M142" i="44"/>
  <c r="M127" i="44"/>
  <c r="M129" i="44"/>
  <c r="B114" i="44"/>
  <c r="B170" i="44"/>
  <c r="B224" i="44"/>
  <c r="K105" i="44"/>
  <c r="K110" i="44"/>
  <c r="K104" i="44"/>
  <c r="K97" i="44"/>
  <c r="K86" i="44"/>
  <c r="M85" i="44"/>
  <c r="M87" i="44"/>
  <c r="K185" i="44"/>
  <c r="D78" i="44"/>
  <c r="M72" i="44"/>
  <c r="C72" i="44"/>
  <c r="K62" i="44"/>
  <c r="I62" i="44"/>
  <c r="G62" i="44"/>
  <c r="E62" i="44"/>
  <c r="E75" i="44"/>
  <c r="C58" i="44"/>
  <c r="C59" i="44"/>
  <c r="C62" i="44"/>
  <c r="C75" i="44"/>
  <c r="M60" i="44"/>
  <c r="M59" i="44"/>
  <c r="M58" i="44"/>
  <c r="M62" i="44"/>
  <c r="J49" i="44"/>
  <c r="J48" i="44"/>
  <c r="G32" i="44"/>
  <c r="E32" i="44"/>
  <c r="C32" i="44"/>
  <c r="G31" i="44"/>
  <c r="E31" i="44"/>
  <c r="C31" i="44"/>
  <c r="M30" i="44"/>
  <c r="M118" i="44"/>
  <c r="J210" i="44"/>
  <c r="J213" i="44"/>
  <c r="M32" i="44"/>
  <c r="L206" i="44"/>
  <c r="L208" i="44"/>
  <c r="L210" i="44"/>
  <c r="L213" i="44"/>
  <c r="M43" i="44"/>
  <c r="M31" i="44"/>
  <c r="M143" i="44"/>
  <c r="K179" i="44"/>
  <c r="M163" i="44"/>
  <c r="M102" i="44"/>
  <c r="M110" i="44"/>
  <c r="M111" i="44"/>
  <c r="M165" i="44"/>
  <c r="M161" i="44"/>
  <c r="M44" i="44"/>
  <c r="M91" i="43"/>
  <c r="M81" i="43"/>
  <c r="K80" i="43"/>
  <c r="M36" i="44"/>
  <c r="K177" i="44"/>
  <c r="K178" i="44"/>
  <c r="K213" i="43"/>
  <c r="L212" i="43"/>
  <c r="I213" i="43"/>
  <c r="J210" i="43"/>
  <c r="K192" i="43"/>
  <c r="K175" i="43"/>
  <c r="M155" i="43"/>
  <c r="M142" i="43"/>
  <c r="M127" i="43"/>
  <c r="M129" i="43"/>
  <c r="B114" i="43"/>
  <c r="B170" i="43"/>
  <c r="B224" i="43"/>
  <c r="K105" i="43"/>
  <c r="K110" i="43"/>
  <c r="K104" i="43"/>
  <c r="K97" i="43"/>
  <c r="K86" i="43"/>
  <c r="M85" i="43"/>
  <c r="M87" i="43"/>
  <c r="K185" i="43"/>
  <c r="D78" i="43"/>
  <c r="M72" i="43"/>
  <c r="C72" i="43"/>
  <c r="K62" i="43"/>
  <c r="I62" i="43"/>
  <c r="G62" i="43"/>
  <c r="E62" i="43"/>
  <c r="E75" i="43"/>
  <c r="M60" i="43"/>
  <c r="M59" i="43"/>
  <c r="C59" i="43"/>
  <c r="M58" i="43"/>
  <c r="C58" i="43"/>
  <c r="C62" i="43"/>
  <c r="C75" i="43"/>
  <c r="J49" i="43"/>
  <c r="J48" i="43"/>
  <c r="M42" i="43"/>
  <c r="G32" i="43"/>
  <c r="E32" i="43"/>
  <c r="C32" i="43"/>
  <c r="G31" i="43"/>
  <c r="E31" i="43"/>
  <c r="C31" i="43"/>
  <c r="M30" i="43"/>
  <c r="M44" i="43"/>
  <c r="M31" i="43"/>
  <c r="M36" i="43"/>
  <c r="K177" i="43"/>
  <c r="K178" i="43"/>
  <c r="M118" i="43"/>
  <c r="M143" i="43"/>
  <c r="M62" i="43"/>
  <c r="M32" i="43"/>
  <c r="M43" i="43"/>
  <c r="J205" i="43"/>
  <c r="J209" i="43"/>
  <c r="J211" i="43"/>
  <c r="J207" i="43"/>
  <c r="J208" i="43"/>
  <c r="J212" i="43"/>
  <c r="J206" i="43"/>
  <c r="M163" i="43"/>
  <c r="M161" i="43"/>
  <c r="M102" i="43"/>
  <c r="M110" i="43"/>
  <c r="M111" i="43"/>
  <c r="M165" i="43"/>
  <c r="K179" i="43"/>
  <c r="L205" i="43"/>
  <c r="L207" i="43"/>
  <c r="L209" i="43"/>
  <c r="L211" i="43"/>
  <c r="L206" i="43"/>
  <c r="L208" i="43"/>
  <c r="L210" i="43"/>
  <c r="J213" i="43"/>
  <c r="L213" i="43"/>
  <c r="K175" i="42"/>
  <c r="M91" i="42"/>
  <c r="M81" i="42"/>
  <c r="K80" i="42"/>
  <c r="K213" i="42"/>
  <c r="L212" i="42"/>
  <c r="I213" i="42"/>
  <c r="J211" i="42"/>
  <c r="K192" i="42"/>
  <c r="M155" i="42"/>
  <c r="M142" i="42"/>
  <c r="M127" i="42"/>
  <c r="M129" i="42"/>
  <c r="B114" i="42"/>
  <c r="B170" i="42"/>
  <c r="B224" i="42"/>
  <c r="K105" i="42"/>
  <c r="K110" i="42"/>
  <c r="K104" i="42"/>
  <c r="K97" i="42"/>
  <c r="K86" i="42"/>
  <c r="M85" i="42"/>
  <c r="M87" i="42"/>
  <c r="K185" i="42"/>
  <c r="D78" i="42"/>
  <c r="M72" i="42"/>
  <c r="C72" i="42"/>
  <c r="K62" i="42"/>
  <c r="I62" i="42"/>
  <c r="G62" i="42"/>
  <c r="E62" i="42"/>
  <c r="E75" i="42"/>
  <c r="M60" i="42"/>
  <c r="M59" i="42"/>
  <c r="C59" i="42"/>
  <c r="M58" i="42"/>
  <c r="C58" i="42"/>
  <c r="J49" i="42"/>
  <c r="J48" i="42"/>
  <c r="M42" i="42"/>
  <c r="G32" i="42"/>
  <c r="E32" i="42"/>
  <c r="C32" i="42"/>
  <c r="M32" i="42"/>
  <c r="G31" i="42"/>
  <c r="E31" i="42"/>
  <c r="C31" i="42"/>
  <c r="M30" i="42"/>
  <c r="M44" i="42"/>
  <c r="L211" i="42"/>
  <c r="J210" i="42"/>
  <c r="J206" i="42"/>
  <c r="J205" i="42"/>
  <c r="J209" i="42"/>
  <c r="M31" i="42"/>
  <c r="J207" i="42"/>
  <c r="L209" i="42"/>
  <c r="J212" i="42"/>
  <c r="L207" i="42"/>
  <c r="M43" i="42"/>
  <c r="C62" i="42"/>
  <c r="C75" i="42"/>
  <c r="M62" i="42"/>
  <c r="M118" i="42"/>
  <c r="L205" i="42"/>
  <c r="J208" i="42"/>
  <c r="M143" i="42"/>
  <c r="M163" i="42"/>
  <c r="M161" i="42"/>
  <c r="K179" i="42"/>
  <c r="M102" i="42"/>
  <c r="M110" i="42"/>
  <c r="M111" i="42"/>
  <c r="M165" i="42"/>
  <c r="L206" i="42"/>
  <c r="L208" i="42"/>
  <c r="L210" i="42"/>
  <c r="M36" i="42"/>
  <c r="K177" i="42"/>
  <c r="K178" i="42"/>
  <c r="L213" i="42"/>
  <c r="J213" i="42"/>
  <c r="M91" i="41"/>
  <c r="M81" i="41"/>
  <c r="K80" i="41"/>
  <c r="K213" i="41"/>
  <c r="L209" i="41"/>
  <c r="I213" i="41"/>
  <c r="J212" i="41"/>
  <c r="K192" i="41"/>
  <c r="K175" i="41"/>
  <c r="M155" i="41"/>
  <c r="M142" i="41"/>
  <c r="M127" i="41"/>
  <c r="M129" i="41"/>
  <c r="B114" i="41"/>
  <c r="B170" i="41"/>
  <c r="B224" i="41"/>
  <c r="K105" i="41"/>
  <c r="K110" i="41"/>
  <c r="K104" i="41"/>
  <c r="K97" i="41"/>
  <c r="K86" i="41"/>
  <c r="M85" i="41"/>
  <c r="M87" i="41"/>
  <c r="K185" i="41"/>
  <c r="D78" i="41"/>
  <c r="M72" i="41"/>
  <c r="C72" i="41"/>
  <c r="K62" i="41"/>
  <c r="I62" i="41"/>
  <c r="G62" i="41"/>
  <c r="E62" i="41"/>
  <c r="E75" i="41"/>
  <c r="M60" i="41"/>
  <c r="M59" i="41"/>
  <c r="C59" i="41"/>
  <c r="M58" i="41"/>
  <c r="C58" i="41"/>
  <c r="J49" i="41"/>
  <c r="J48" i="41"/>
  <c r="M42" i="41"/>
  <c r="G32" i="41"/>
  <c r="E32" i="41"/>
  <c r="C32" i="41"/>
  <c r="G31" i="41"/>
  <c r="E31" i="41"/>
  <c r="C31" i="41"/>
  <c r="M30" i="41"/>
  <c r="M44" i="41"/>
  <c r="C62" i="41"/>
  <c r="C75" i="41"/>
  <c r="M62" i="41"/>
  <c r="M43" i="41"/>
  <c r="M32" i="41"/>
  <c r="M31" i="41"/>
  <c r="L207" i="41"/>
  <c r="L211" i="41"/>
  <c r="L206" i="41"/>
  <c r="L208" i="41"/>
  <c r="L212" i="41"/>
  <c r="L210" i="41"/>
  <c r="L205" i="41"/>
  <c r="J205" i="41"/>
  <c r="J209" i="41"/>
  <c r="J211" i="41"/>
  <c r="J207" i="41"/>
  <c r="J206" i="41"/>
  <c r="J208" i="41"/>
  <c r="J210" i="41"/>
  <c r="M163" i="41"/>
  <c r="M161" i="41"/>
  <c r="K179" i="41"/>
  <c r="M102" i="41"/>
  <c r="M165" i="41"/>
  <c r="M143" i="41"/>
  <c r="M118" i="41"/>
  <c r="K213" i="40"/>
  <c r="I213" i="40"/>
  <c r="J213" i="41"/>
  <c r="M36" i="41"/>
  <c r="K177" i="41"/>
  <c r="K178" i="41"/>
  <c r="M110" i="41"/>
  <c r="M111" i="41"/>
  <c r="L213" i="41"/>
  <c r="M81" i="40"/>
  <c r="M91" i="40"/>
  <c r="K80" i="40"/>
  <c r="L212" i="40"/>
  <c r="J212" i="40"/>
  <c r="K192" i="40"/>
  <c r="K175" i="40"/>
  <c r="M155" i="40"/>
  <c r="M142" i="40"/>
  <c r="M143" i="40"/>
  <c r="M127" i="40"/>
  <c r="M129" i="40"/>
  <c r="B114" i="40"/>
  <c r="B170" i="40"/>
  <c r="B224" i="40"/>
  <c r="K105" i="40"/>
  <c r="K110" i="40"/>
  <c r="K104" i="40"/>
  <c r="K97" i="40"/>
  <c r="K86" i="40"/>
  <c r="M85" i="40"/>
  <c r="M87" i="40"/>
  <c r="K185" i="40"/>
  <c r="D78" i="40"/>
  <c r="M72" i="40"/>
  <c r="C72" i="40"/>
  <c r="K62" i="40"/>
  <c r="I62" i="40"/>
  <c r="G62" i="40"/>
  <c r="E62" i="40"/>
  <c r="E75" i="40"/>
  <c r="M60" i="40"/>
  <c r="M59" i="40"/>
  <c r="C59" i="40"/>
  <c r="M58" i="40"/>
  <c r="C58" i="40"/>
  <c r="J49" i="40"/>
  <c r="J48" i="40"/>
  <c r="M42" i="40"/>
  <c r="G32" i="40"/>
  <c r="E32" i="40"/>
  <c r="C32" i="40"/>
  <c r="G31" i="40"/>
  <c r="E31" i="40"/>
  <c r="C31" i="40"/>
  <c r="M30" i="40"/>
  <c r="M118" i="40"/>
  <c r="C62" i="40"/>
  <c r="C75" i="40"/>
  <c r="M62" i="40"/>
  <c r="L210" i="40"/>
  <c r="L206" i="40"/>
  <c r="L208" i="40"/>
  <c r="L205" i="40"/>
  <c r="L207" i="40"/>
  <c r="L209" i="40"/>
  <c r="J205" i="40"/>
  <c r="J206" i="40"/>
  <c r="J207" i="40"/>
  <c r="J208" i="40"/>
  <c r="J209" i="40"/>
  <c r="J210" i="40"/>
  <c r="J211" i="40"/>
  <c r="M32" i="40"/>
  <c r="M43" i="40"/>
  <c r="M31" i="40"/>
  <c r="K179" i="40"/>
  <c r="M163" i="40"/>
  <c r="M102" i="40"/>
  <c r="M110" i="40"/>
  <c r="M111" i="40"/>
  <c r="M165" i="40"/>
  <c r="M161" i="40"/>
  <c r="M44" i="40"/>
  <c r="L211" i="40"/>
  <c r="M91" i="39"/>
  <c r="M81" i="39"/>
  <c r="M85" i="39"/>
  <c r="K80" i="39"/>
  <c r="M36" i="40"/>
  <c r="K177" i="40"/>
  <c r="K178" i="40"/>
  <c r="L213" i="40"/>
  <c r="J213" i="40"/>
  <c r="I213" i="39"/>
  <c r="D78" i="39"/>
  <c r="K213" i="39"/>
  <c r="L212" i="39"/>
  <c r="J212" i="39"/>
  <c r="K192" i="39"/>
  <c r="K175" i="39"/>
  <c r="M155" i="39"/>
  <c r="M142" i="39"/>
  <c r="M127" i="39"/>
  <c r="M129" i="39"/>
  <c r="B114" i="39"/>
  <c r="B170" i="39"/>
  <c r="B224" i="39"/>
  <c r="K105" i="39"/>
  <c r="K110" i="39"/>
  <c r="K104" i="39"/>
  <c r="K97" i="39"/>
  <c r="K86" i="39"/>
  <c r="M87" i="39"/>
  <c r="K185" i="39"/>
  <c r="M72" i="39"/>
  <c r="C72" i="39"/>
  <c r="K62" i="39"/>
  <c r="I62" i="39"/>
  <c r="G62" i="39"/>
  <c r="E62" i="39"/>
  <c r="E75" i="39"/>
  <c r="M60" i="39"/>
  <c r="M59" i="39"/>
  <c r="C59" i="39"/>
  <c r="M58" i="39"/>
  <c r="C58" i="39"/>
  <c r="C62" i="39"/>
  <c r="C75" i="39"/>
  <c r="J49" i="39"/>
  <c r="J48" i="39"/>
  <c r="M42" i="39"/>
  <c r="G32" i="39"/>
  <c r="E32" i="39"/>
  <c r="C32" i="39"/>
  <c r="G31" i="39"/>
  <c r="E31" i="39"/>
  <c r="C31" i="39"/>
  <c r="M30" i="39"/>
  <c r="M44" i="39"/>
  <c r="M62" i="39"/>
  <c r="M31" i="39"/>
  <c r="M36" i="39"/>
  <c r="K177" i="39"/>
  <c r="K178" i="39"/>
  <c r="M118" i="39"/>
  <c r="M32" i="39"/>
  <c r="M43" i="39"/>
  <c r="J205" i="39"/>
  <c r="J209" i="39"/>
  <c r="J207" i="39"/>
  <c r="J211" i="39"/>
  <c r="J206" i="39"/>
  <c r="J208" i="39"/>
  <c r="J210" i="39"/>
  <c r="M165" i="39"/>
  <c r="M161" i="39"/>
  <c r="K179" i="39"/>
  <c r="M163" i="39"/>
  <c r="M102" i="39"/>
  <c r="M110" i="39"/>
  <c r="M111" i="39"/>
  <c r="M143" i="39"/>
  <c r="L205" i="39"/>
  <c r="L206" i="39"/>
  <c r="L207" i="39"/>
  <c r="L208" i="39"/>
  <c r="L209" i="39"/>
  <c r="L210" i="39"/>
  <c r="L211" i="39"/>
  <c r="J213" i="39"/>
  <c r="L213" i="39"/>
  <c r="M91" i="38"/>
  <c r="M81" i="38"/>
  <c r="K80" i="38"/>
  <c r="G58" i="38"/>
  <c r="K213" i="38"/>
  <c r="L212" i="38"/>
  <c r="I213" i="38"/>
  <c r="J212" i="38"/>
  <c r="K192" i="38"/>
  <c r="K175" i="38"/>
  <c r="M155" i="38"/>
  <c r="M142" i="38"/>
  <c r="M127" i="38"/>
  <c r="M129" i="38"/>
  <c r="B114" i="38"/>
  <c r="B170" i="38"/>
  <c r="B224" i="38"/>
  <c r="K105" i="38"/>
  <c r="K110" i="38"/>
  <c r="K104" i="38"/>
  <c r="K97" i="38"/>
  <c r="K86" i="38"/>
  <c r="M85" i="38"/>
  <c r="M87" i="38"/>
  <c r="K185" i="38"/>
  <c r="M72" i="38"/>
  <c r="C72" i="38"/>
  <c r="K62" i="38"/>
  <c r="I62" i="38"/>
  <c r="E62" i="38"/>
  <c r="E75" i="38"/>
  <c r="M60" i="38"/>
  <c r="M59" i="38"/>
  <c r="C59" i="38"/>
  <c r="G62" i="38"/>
  <c r="C58" i="38"/>
  <c r="J49" i="38"/>
  <c r="J48" i="38"/>
  <c r="M42" i="38"/>
  <c r="G32" i="38"/>
  <c r="E32" i="38"/>
  <c r="C32" i="38"/>
  <c r="G31" i="38"/>
  <c r="E31" i="38"/>
  <c r="C31" i="38"/>
  <c r="M30" i="38"/>
  <c r="M118" i="38"/>
  <c r="M31" i="38"/>
  <c r="M36" i="38"/>
  <c r="K177" i="38"/>
  <c r="K178" i="38"/>
  <c r="C62" i="38"/>
  <c r="C75" i="38"/>
  <c r="M102" i="38"/>
  <c r="M110" i="38"/>
  <c r="M111" i="38"/>
  <c r="J206" i="38"/>
  <c r="J209" i="38"/>
  <c r="J205" i="38"/>
  <c r="J207" i="38"/>
  <c r="J211" i="38"/>
  <c r="J208" i="38"/>
  <c r="J210" i="38"/>
  <c r="M32" i="38"/>
  <c r="M43" i="38"/>
  <c r="M165" i="38"/>
  <c r="M161" i="38"/>
  <c r="K179" i="38"/>
  <c r="M163" i="38"/>
  <c r="M44" i="38"/>
  <c r="M143" i="38"/>
  <c r="M58" i="38"/>
  <c r="M62" i="38"/>
  <c r="L205" i="38"/>
  <c r="L206" i="38"/>
  <c r="L207" i="38"/>
  <c r="L208" i="38"/>
  <c r="L209" i="38"/>
  <c r="L210" i="38"/>
  <c r="L211" i="38"/>
  <c r="J213" i="38"/>
  <c r="L213" i="38"/>
  <c r="M91" i="37"/>
  <c r="M82" i="37"/>
  <c r="M81" i="37"/>
  <c r="K80" i="37"/>
  <c r="G58" i="37"/>
  <c r="K213" i="37"/>
  <c r="L211" i="37"/>
  <c r="I213" i="37"/>
  <c r="J212" i="37"/>
  <c r="L212" i="37"/>
  <c r="K192" i="37"/>
  <c r="K175" i="37"/>
  <c r="M155" i="37"/>
  <c r="M142" i="37"/>
  <c r="M127" i="37"/>
  <c r="M129" i="37"/>
  <c r="B114" i="37"/>
  <c r="B170" i="37"/>
  <c r="B224" i="37"/>
  <c r="K105" i="37"/>
  <c r="K110" i="37"/>
  <c r="K104" i="37"/>
  <c r="K97" i="37"/>
  <c r="K86" i="37"/>
  <c r="M85" i="37"/>
  <c r="M87" i="37"/>
  <c r="K185" i="37"/>
  <c r="M72" i="37"/>
  <c r="C72" i="37"/>
  <c r="K62" i="37"/>
  <c r="I62" i="37"/>
  <c r="E62" i="37"/>
  <c r="E75" i="37"/>
  <c r="M60" i="37"/>
  <c r="M59" i="37"/>
  <c r="C59" i="37"/>
  <c r="M58" i="37"/>
  <c r="G62" i="37"/>
  <c r="C58" i="37"/>
  <c r="J49" i="37"/>
  <c r="J48" i="37"/>
  <c r="M42" i="37"/>
  <c r="G32" i="37"/>
  <c r="E32" i="37"/>
  <c r="C32" i="37"/>
  <c r="G31" i="37"/>
  <c r="E31" i="37"/>
  <c r="C31" i="37"/>
  <c r="M30" i="37"/>
  <c r="M118" i="37"/>
  <c r="M31" i="37"/>
  <c r="M36" i="37"/>
  <c r="K177" i="37"/>
  <c r="K178" i="37"/>
  <c r="M62" i="37"/>
  <c r="C62" i="37"/>
  <c r="C75" i="37"/>
  <c r="M32" i="37"/>
  <c r="M43" i="37"/>
  <c r="L205" i="37"/>
  <c r="L207" i="37"/>
  <c r="L206" i="37"/>
  <c r="L208" i="37"/>
  <c r="L209" i="37"/>
  <c r="L210" i="37"/>
  <c r="J205" i="37"/>
  <c r="J206" i="37"/>
  <c r="J207" i="37"/>
  <c r="J208" i="37"/>
  <c r="J209" i="37"/>
  <c r="J210" i="37"/>
  <c r="J211" i="37"/>
  <c r="M143" i="37"/>
  <c r="K179" i="37"/>
  <c r="M163" i="37"/>
  <c r="M102" i="37"/>
  <c r="M110" i="37"/>
  <c r="M111" i="37"/>
  <c r="M165" i="37"/>
  <c r="M161" i="37"/>
  <c r="M44" i="37"/>
  <c r="L213" i="37"/>
  <c r="J213" i="37"/>
  <c r="G58" i="36"/>
  <c r="M91" i="36"/>
  <c r="M82" i="36"/>
  <c r="M81" i="36"/>
  <c r="K80" i="36"/>
  <c r="K213" i="36"/>
  <c r="L212" i="36"/>
  <c r="I213" i="36"/>
  <c r="J212" i="36"/>
  <c r="K192" i="36"/>
  <c r="K175" i="36"/>
  <c r="M155" i="36"/>
  <c r="M142" i="36"/>
  <c r="M127" i="36"/>
  <c r="M129" i="36"/>
  <c r="B114" i="36"/>
  <c r="B170" i="36"/>
  <c r="B224" i="36"/>
  <c r="K105" i="36"/>
  <c r="K110" i="36"/>
  <c r="K104" i="36"/>
  <c r="K97" i="36"/>
  <c r="K86" i="36"/>
  <c r="M85" i="36"/>
  <c r="M87" i="36"/>
  <c r="K185" i="36"/>
  <c r="M72" i="36"/>
  <c r="C72" i="36"/>
  <c r="K62" i="36"/>
  <c r="I62" i="36"/>
  <c r="E62" i="36"/>
  <c r="E75" i="36"/>
  <c r="M60" i="36"/>
  <c r="M59" i="36"/>
  <c r="C59" i="36"/>
  <c r="M58" i="36"/>
  <c r="G62" i="36"/>
  <c r="C58" i="36"/>
  <c r="C62" i="36"/>
  <c r="J49" i="36"/>
  <c r="J48" i="36"/>
  <c r="M42" i="36"/>
  <c r="G32" i="36"/>
  <c r="E32" i="36"/>
  <c r="C32" i="36"/>
  <c r="G31" i="36"/>
  <c r="E31" i="36"/>
  <c r="C31" i="36"/>
  <c r="M30" i="36"/>
  <c r="M118" i="36"/>
  <c r="M91" i="35"/>
  <c r="M81" i="35"/>
  <c r="K80" i="35"/>
  <c r="K185" i="35"/>
  <c r="G58" i="35"/>
  <c r="K213" i="35"/>
  <c r="L212" i="35"/>
  <c r="I213" i="35"/>
  <c r="J212" i="35"/>
  <c r="K192" i="35"/>
  <c r="K175" i="35"/>
  <c r="M155" i="35"/>
  <c r="M142" i="35"/>
  <c r="M143" i="35"/>
  <c r="M127" i="35"/>
  <c r="M129" i="35"/>
  <c r="B114" i="35"/>
  <c r="B170" i="35"/>
  <c r="B224" i="35"/>
  <c r="K105" i="35"/>
  <c r="K110" i="35"/>
  <c r="K104" i="35"/>
  <c r="K97" i="35"/>
  <c r="K86" i="35"/>
  <c r="M85" i="35"/>
  <c r="M87" i="35"/>
  <c r="M161" i="35"/>
  <c r="M72" i="35"/>
  <c r="C72" i="35"/>
  <c r="K62" i="35"/>
  <c r="I62" i="35"/>
  <c r="E62" i="35"/>
  <c r="E75" i="35"/>
  <c r="M60" i="35"/>
  <c r="M59" i="35"/>
  <c r="M58" i="35"/>
  <c r="M62" i="35"/>
  <c r="C59" i="35"/>
  <c r="G62" i="35"/>
  <c r="C58" i="35"/>
  <c r="J49" i="35"/>
  <c r="J48" i="35"/>
  <c r="M42" i="35"/>
  <c r="G32" i="35"/>
  <c r="E32" i="35"/>
  <c r="C32" i="35"/>
  <c r="G31" i="35"/>
  <c r="E31" i="35"/>
  <c r="C31" i="35"/>
  <c r="M30" i="35"/>
  <c r="M118" i="35"/>
  <c r="M91" i="34"/>
  <c r="M81" i="34"/>
  <c r="M85" i="34"/>
  <c r="M87" i="34"/>
  <c r="G58" i="34"/>
  <c r="G62" i="34"/>
  <c r="K80" i="34"/>
  <c r="K185" i="34"/>
  <c r="K213" i="34"/>
  <c r="L212" i="34"/>
  <c r="I213" i="34"/>
  <c r="K192" i="34"/>
  <c r="K175" i="34"/>
  <c r="M155" i="34"/>
  <c r="M142" i="34"/>
  <c r="M127" i="34"/>
  <c r="M129" i="34"/>
  <c r="B114" i="34"/>
  <c r="B170" i="34"/>
  <c r="B224" i="34"/>
  <c r="K105" i="34"/>
  <c r="K110" i="34"/>
  <c r="K104" i="34"/>
  <c r="K97" i="34"/>
  <c r="K86" i="34"/>
  <c r="M72" i="34"/>
  <c r="C72" i="34"/>
  <c r="K62" i="34"/>
  <c r="I62" i="34"/>
  <c r="E62" i="34"/>
  <c r="E75" i="34"/>
  <c r="M60" i="34"/>
  <c r="M59" i="34"/>
  <c r="C59" i="34"/>
  <c r="M58" i="34"/>
  <c r="C58" i="34"/>
  <c r="J49" i="34"/>
  <c r="J48" i="34"/>
  <c r="M42" i="34"/>
  <c r="G32" i="34"/>
  <c r="E32" i="34"/>
  <c r="C32" i="34"/>
  <c r="G31" i="34"/>
  <c r="E31" i="34"/>
  <c r="C31" i="34"/>
  <c r="M30" i="34"/>
  <c r="M118" i="34"/>
  <c r="M91" i="33"/>
  <c r="M81" i="33"/>
  <c r="M85" i="33"/>
  <c r="M87" i="33"/>
  <c r="K80" i="33"/>
  <c r="K185" i="33"/>
  <c r="G58" i="33"/>
  <c r="K213" i="33"/>
  <c r="L212" i="33"/>
  <c r="I213" i="33"/>
  <c r="J206" i="33"/>
  <c r="K192" i="33"/>
  <c r="K175" i="33"/>
  <c r="M155" i="33"/>
  <c r="M142" i="33"/>
  <c r="M127" i="33"/>
  <c r="M129" i="33"/>
  <c r="B114" i="33"/>
  <c r="B170" i="33"/>
  <c r="B224" i="33"/>
  <c r="K105" i="33"/>
  <c r="K110" i="33"/>
  <c r="K104" i="33"/>
  <c r="K97" i="33"/>
  <c r="K86" i="33"/>
  <c r="M72" i="33"/>
  <c r="C72" i="33"/>
  <c r="K62" i="33"/>
  <c r="I62" i="33"/>
  <c r="E62" i="33"/>
  <c r="E75" i="33"/>
  <c r="M60" i="33"/>
  <c r="M59" i="33"/>
  <c r="C59" i="33"/>
  <c r="C58" i="33"/>
  <c r="J49" i="33"/>
  <c r="J48" i="33"/>
  <c r="M42" i="33"/>
  <c r="G32" i="33"/>
  <c r="E32" i="33"/>
  <c r="C32" i="33"/>
  <c r="G31" i="33"/>
  <c r="E31" i="33"/>
  <c r="C31" i="33"/>
  <c r="M30" i="33"/>
  <c r="M118" i="33"/>
  <c r="M127" i="32"/>
  <c r="M91" i="32"/>
  <c r="M81" i="32"/>
  <c r="K80" i="32"/>
  <c r="K185" i="32"/>
  <c r="G58" i="32"/>
  <c r="G62" i="32"/>
  <c r="K213" i="32"/>
  <c r="L212" i="32"/>
  <c r="I213" i="32"/>
  <c r="J210" i="32"/>
  <c r="J208" i="32"/>
  <c r="K192" i="32"/>
  <c r="K175" i="32"/>
  <c r="M155" i="32"/>
  <c r="M142" i="32"/>
  <c r="B114" i="32"/>
  <c r="B170" i="32"/>
  <c r="B224" i="32"/>
  <c r="K105" i="32"/>
  <c r="K110" i="32"/>
  <c r="K104" i="32"/>
  <c r="K97" i="32"/>
  <c r="K86" i="32"/>
  <c r="M85" i="32"/>
  <c r="M87" i="32"/>
  <c r="M161" i="32"/>
  <c r="M72" i="32"/>
  <c r="C72" i="32"/>
  <c r="K62" i="32"/>
  <c r="I62" i="32"/>
  <c r="E62" i="32"/>
  <c r="E75" i="32"/>
  <c r="M60" i="32"/>
  <c r="M59" i="32"/>
  <c r="C59" i="32"/>
  <c r="C58" i="32"/>
  <c r="J49" i="32"/>
  <c r="J48" i="32"/>
  <c r="M42" i="32"/>
  <c r="G32" i="32"/>
  <c r="E32" i="32"/>
  <c r="C32" i="32"/>
  <c r="M32" i="32"/>
  <c r="G31" i="32"/>
  <c r="E31" i="32"/>
  <c r="C31" i="32"/>
  <c r="M30" i="32"/>
  <c r="M118" i="32"/>
  <c r="M91" i="31"/>
  <c r="M81" i="31"/>
  <c r="M85" i="31"/>
  <c r="M87" i="31"/>
  <c r="M102" i="31"/>
  <c r="M110" i="31"/>
  <c r="K80" i="31"/>
  <c r="G58" i="31"/>
  <c r="G62" i="31"/>
  <c r="K211" i="31"/>
  <c r="I211" i="31"/>
  <c r="J208" i="31"/>
  <c r="L209" i="31"/>
  <c r="L205" i="31"/>
  <c r="L203" i="31"/>
  <c r="K190" i="31"/>
  <c r="K173" i="31"/>
  <c r="M153" i="31"/>
  <c r="M140" i="31"/>
  <c r="M127" i="31"/>
  <c r="B114" i="31"/>
  <c r="B168" i="31"/>
  <c r="B222" i="31"/>
  <c r="K105" i="31"/>
  <c r="K110" i="31"/>
  <c r="K104" i="31"/>
  <c r="K97" i="31"/>
  <c r="K86" i="31"/>
  <c r="K183" i="31"/>
  <c r="M72" i="31"/>
  <c r="C72" i="31"/>
  <c r="K62" i="31"/>
  <c r="I62" i="31"/>
  <c r="E62" i="31"/>
  <c r="E75" i="31"/>
  <c r="M60" i="31"/>
  <c r="M59" i="31"/>
  <c r="C59" i="31"/>
  <c r="C58" i="31"/>
  <c r="J49" i="31"/>
  <c r="J48" i="31"/>
  <c r="M42" i="31"/>
  <c r="G32" i="31"/>
  <c r="E32" i="31"/>
  <c r="C32" i="31"/>
  <c r="G31" i="31"/>
  <c r="E31" i="31"/>
  <c r="C31" i="31"/>
  <c r="M30" i="31"/>
  <c r="M118" i="31"/>
  <c r="M91" i="30"/>
  <c r="M81" i="30"/>
  <c r="M85" i="30"/>
  <c r="M87" i="30"/>
  <c r="K80" i="30"/>
  <c r="K183" i="30"/>
  <c r="G58" i="30"/>
  <c r="G62" i="30"/>
  <c r="K211" i="30"/>
  <c r="L210" i="30"/>
  <c r="I211" i="30"/>
  <c r="J203" i="30"/>
  <c r="K190" i="30"/>
  <c r="K173" i="30"/>
  <c r="K154" i="30"/>
  <c r="M153" i="30"/>
  <c r="M140" i="30"/>
  <c r="M127" i="30"/>
  <c r="B114" i="30"/>
  <c r="B168" i="30"/>
  <c r="B222" i="30"/>
  <c r="K105" i="30"/>
  <c r="K110" i="30"/>
  <c r="K104" i="30"/>
  <c r="K97" i="30"/>
  <c r="K86" i="30"/>
  <c r="M72" i="30"/>
  <c r="C72" i="30"/>
  <c r="K62" i="30"/>
  <c r="I62" i="30"/>
  <c r="E62" i="30"/>
  <c r="E75" i="30"/>
  <c r="M60" i="30"/>
  <c r="M59" i="30"/>
  <c r="C59" i="30"/>
  <c r="C58" i="30"/>
  <c r="J49" i="30"/>
  <c r="J48" i="30"/>
  <c r="M42" i="30"/>
  <c r="G32" i="30"/>
  <c r="E32" i="30"/>
  <c r="C32" i="30"/>
  <c r="G31" i="30"/>
  <c r="E31" i="30"/>
  <c r="C31" i="30"/>
  <c r="M30" i="30"/>
  <c r="M118" i="30"/>
  <c r="M91" i="29"/>
  <c r="M81" i="29"/>
  <c r="K80" i="29"/>
  <c r="K183" i="29"/>
  <c r="G58" i="29"/>
  <c r="M58" i="29"/>
  <c r="K212" i="29"/>
  <c r="I212" i="29"/>
  <c r="K190" i="29"/>
  <c r="K173" i="29"/>
  <c r="K154" i="29"/>
  <c r="M153" i="29"/>
  <c r="M140" i="29"/>
  <c r="M127" i="29"/>
  <c r="B114" i="29"/>
  <c r="B168" i="29"/>
  <c r="B222" i="29"/>
  <c r="K105" i="29"/>
  <c r="K110" i="29"/>
  <c r="K104" i="29"/>
  <c r="K97" i="29"/>
  <c r="K86" i="29"/>
  <c r="M85" i="29"/>
  <c r="M87" i="29"/>
  <c r="M72" i="29"/>
  <c r="C72" i="29"/>
  <c r="K62" i="29"/>
  <c r="I62" i="29"/>
  <c r="G62" i="29"/>
  <c r="E62" i="29"/>
  <c r="E75" i="29"/>
  <c r="M60" i="29"/>
  <c r="M59" i="29"/>
  <c r="C59" i="29"/>
  <c r="C58" i="29"/>
  <c r="J49" i="29"/>
  <c r="J48" i="29"/>
  <c r="M42" i="29"/>
  <c r="G32" i="29"/>
  <c r="E32" i="29"/>
  <c r="C32" i="29"/>
  <c r="G31" i="29"/>
  <c r="E31" i="29"/>
  <c r="C31" i="29"/>
  <c r="M31" i="29"/>
  <c r="M36" i="29"/>
  <c r="K175" i="29"/>
  <c r="K176" i="29"/>
  <c r="M30" i="29"/>
  <c r="M118" i="29"/>
  <c r="M91" i="28"/>
  <c r="M82" i="28"/>
  <c r="M81" i="28"/>
  <c r="K80" i="28"/>
  <c r="K183" i="28"/>
  <c r="G58" i="28"/>
  <c r="K212" i="28"/>
  <c r="L210" i="28"/>
  <c r="I212" i="28"/>
  <c r="J211" i="28"/>
  <c r="J208" i="28"/>
  <c r="J207" i="28"/>
  <c r="K190" i="28"/>
  <c r="K173" i="28"/>
  <c r="K154" i="28"/>
  <c r="M153" i="28"/>
  <c r="M140" i="28"/>
  <c r="M127" i="28"/>
  <c r="B114" i="28"/>
  <c r="B168" i="28"/>
  <c r="B222" i="28"/>
  <c r="K105" i="28"/>
  <c r="K110" i="28"/>
  <c r="K104" i="28"/>
  <c r="K97" i="28"/>
  <c r="K86" i="28"/>
  <c r="M72" i="28"/>
  <c r="C72" i="28"/>
  <c r="K62" i="28"/>
  <c r="I62" i="28"/>
  <c r="E62" i="28"/>
  <c r="E75" i="28"/>
  <c r="M60" i="28"/>
  <c r="M59" i="28"/>
  <c r="C59" i="28"/>
  <c r="C58" i="28"/>
  <c r="J49" i="28"/>
  <c r="J48" i="28"/>
  <c r="M42" i="28"/>
  <c r="G32" i="28"/>
  <c r="E32" i="28"/>
  <c r="C32" i="28"/>
  <c r="G31" i="28"/>
  <c r="E31" i="28"/>
  <c r="C31" i="28"/>
  <c r="M30" i="28"/>
  <c r="M118" i="28"/>
  <c r="K80" i="27"/>
  <c r="K183" i="27"/>
  <c r="G58" i="27"/>
  <c r="M91" i="27"/>
  <c r="M82" i="27"/>
  <c r="M81" i="27"/>
  <c r="M30" i="27"/>
  <c r="C31" i="27"/>
  <c r="E31" i="27"/>
  <c r="G31" i="27"/>
  <c r="C32" i="27"/>
  <c r="E32" i="27"/>
  <c r="G32" i="27"/>
  <c r="M42" i="27"/>
  <c r="M44" i="27"/>
  <c r="J48" i="27"/>
  <c r="J49" i="27"/>
  <c r="C58" i="27"/>
  <c r="C59" i="27"/>
  <c r="M59" i="27"/>
  <c r="M60" i="27"/>
  <c r="E62" i="27"/>
  <c r="E75" i="27"/>
  <c r="I62" i="27"/>
  <c r="K62" i="27"/>
  <c r="C72" i="27"/>
  <c r="M72" i="27"/>
  <c r="K86" i="27"/>
  <c r="K97" i="27"/>
  <c r="K104" i="27"/>
  <c r="K105" i="27"/>
  <c r="K110" i="27"/>
  <c r="B114" i="27"/>
  <c r="B168" i="27"/>
  <c r="B222" i="27"/>
  <c r="M118" i="27"/>
  <c r="M127" i="27"/>
  <c r="M140" i="27"/>
  <c r="M153" i="27"/>
  <c r="K154" i="27"/>
  <c r="K173" i="27"/>
  <c r="K190" i="27"/>
  <c r="I212" i="27"/>
  <c r="J204" i="27"/>
  <c r="K212" i="27"/>
  <c r="L205" i="27"/>
  <c r="K80" i="26"/>
  <c r="G58" i="26"/>
  <c r="M58" i="26"/>
  <c r="M91" i="26"/>
  <c r="M81" i="26"/>
  <c r="M85" i="26"/>
  <c r="M87" i="26"/>
  <c r="M30" i="26"/>
  <c r="C31" i="26"/>
  <c r="E31" i="26"/>
  <c r="G31" i="26"/>
  <c r="C32" i="26"/>
  <c r="E32" i="26"/>
  <c r="G32" i="26"/>
  <c r="M42" i="26"/>
  <c r="J48" i="26"/>
  <c r="J49" i="26"/>
  <c r="C58" i="26"/>
  <c r="C59" i="26"/>
  <c r="M59" i="26"/>
  <c r="M60" i="26"/>
  <c r="E62" i="26"/>
  <c r="I62" i="26"/>
  <c r="K62" i="26"/>
  <c r="C72" i="26"/>
  <c r="M72" i="26"/>
  <c r="K182" i="2"/>
  <c r="K184" i="9"/>
  <c r="K184" i="10"/>
  <c r="K184" i="11"/>
  <c r="K184" i="12"/>
  <c r="K184" i="15"/>
  <c r="K86" i="26"/>
  <c r="K105" i="26"/>
  <c r="K110" i="26"/>
  <c r="K97" i="26"/>
  <c r="E75" i="26"/>
  <c r="K104" i="26"/>
  <c r="B114" i="26"/>
  <c r="B168" i="26"/>
  <c r="B222" i="26"/>
  <c r="M127" i="26"/>
  <c r="M140" i="26"/>
  <c r="M153" i="26"/>
  <c r="K154" i="26"/>
  <c r="K173" i="26"/>
  <c r="K183" i="26"/>
  <c r="K190" i="26"/>
  <c r="I212" i="26"/>
  <c r="K212" i="26"/>
  <c r="L204" i="26"/>
  <c r="G32" i="25"/>
  <c r="M91" i="25"/>
  <c r="M81" i="25"/>
  <c r="M85" i="25"/>
  <c r="M87" i="25"/>
  <c r="K105" i="25"/>
  <c r="K110" i="25"/>
  <c r="K80" i="25"/>
  <c r="K183" i="25"/>
  <c r="K86" i="25"/>
  <c r="K97" i="25"/>
  <c r="G58" i="25"/>
  <c r="G62" i="25"/>
  <c r="E32" i="25"/>
  <c r="G31" i="25"/>
  <c r="E31" i="25"/>
  <c r="M30" i="25"/>
  <c r="M44" i="25"/>
  <c r="C31" i="25"/>
  <c r="C32" i="25"/>
  <c r="M42" i="25"/>
  <c r="J48" i="25"/>
  <c r="J49" i="25"/>
  <c r="C58" i="25"/>
  <c r="M59" i="25"/>
  <c r="M60" i="25"/>
  <c r="C59" i="25"/>
  <c r="C72" i="25"/>
  <c r="E62" i="25"/>
  <c r="E75" i="25"/>
  <c r="I62" i="25"/>
  <c r="K62" i="25"/>
  <c r="M72" i="25"/>
  <c r="K104" i="25"/>
  <c r="B114" i="25"/>
  <c r="B168" i="25"/>
  <c r="B222" i="25"/>
  <c r="M127" i="25"/>
  <c r="M140" i="25"/>
  <c r="M153" i="25"/>
  <c r="K154" i="25"/>
  <c r="K169" i="25"/>
  <c r="K173" i="25"/>
  <c r="K190" i="25"/>
  <c r="K212" i="25"/>
  <c r="L206" i="25"/>
  <c r="L205" i="25"/>
  <c r="L208" i="25"/>
  <c r="I212" i="25"/>
  <c r="J203" i="25"/>
  <c r="M91" i="24"/>
  <c r="M81" i="24"/>
  <c r="M85" i="24"/>
  <c r="M87" i="24"/>
  <c r="K80" i="24"/>
  <c r="G58" i="24"/>
  <c r="M59" i="24"/>
  <c r="M60" i="24"/>
  <c r="M30" i="24"/>
  <c r="M44" i="24"/>
  <c r="C31" i="24"/>
  <c r="M31" i="24"/>
  <c r="M36" i="24"/>
  <c r="K175" i="24"/>
  <c r="K176" i="24"/>
  <c r="C32" i="24"/>
  <c r="M43" i="24"/>
  <c r="M42" i="24"/>
  <c r="J48" i="24"/>
  <c r="J49" i="24"/>
  <c r="C58" i="24"/>
  <c r="C59" i="24"/>
  <c r="C72" i="24"/>
  <c r="E62" i="24"/>
  <c r="E75" i="24"/>
  <c r="I62" i="24"/>
  <c r="K62" i="24"/>
  <c r="M72" i="24"/>
  <c r="K183" i="24"/>
  <c r="K86" i="24"/>
  <c r="K97" i="24"/>
  <c r="K104" i="24"/>
  <c r="K105" i="24"/>
  <c r="K110" i="24"/>
  <c r="B114" i="24"/>
  <c r="B168" i="24"/>
  <c r="B222" i="24"/>
  <c r="M118" i="24"/>
  <c r="M127" i="24"/>
  <c r="M140" i="24"/>
  <c r="M153" i="24"/>
  <c r="K154" i="24"/>
  <c r="K169" i="24"/>
  <c r="K173" i="24"/>
  <c r="K190" i="24"/>
  <c r="I212" i="24"/>
  <c r="K212" i="24"/>
  <c r="L203" i="24"/>
  <c r="M91" i="23"/>
  <c r="M81" i="23"/>
  <c r="M85" i="23"/>
  <c r="M87" i="23"/>
  <c r="K80" i="23"/>
  <c r="K183" i="23"/>
  <c r="G58" i="23"/>
  <c r="G62" i="23"/>
  <c r="M30" i="23"/>
  <c r="C31" i="23"/>
  <c r="M31" i="23"/>
  <c r="M36" i="23"/>
  <c r="K175" i="23"/>
  <c r="K176" i="23"/>
  <c r="C32" i="23"/>
  <c r="M32" i="23"/>
  <c r="M42" i="23"/>
  <c r="J48" i="23"/>
  <c r="J49" i="23"/>
  <c r="C58" i="23"/>
  <c r="M58" i="23"/>
  <c r="M59" i="23"/>
  <c r="M60" i="23"/>
  <c r="C59" i="23"/>
  <c r="C72" i="23"/>
  <c r="E62" i="23"/>
  <c r="E75" i="23"/>
  <c r="I62" i="23"/>
  <c r="K62" i="23"/>
  <c r="M72" i="23"/>
  <c r="K97" i="23"/>
  <c r="K105" i="23"/>
  <c r="K110" i="23"/>
  <c r="K86" i="23"/>
  <c r="K104" i="23"/>
  <c r="B114" i="23"/>
  <c r="B168" i="23"/>
  <c r="B222" i="23"/>
  <c r="M127" i="23"/>
  <c r="M140" i="23"/>
  <c r="M141" i="23"/>
  <c r="M153" i="23"/>
  <c r="K154" i="23"/>
  <c r="K169" i="23"/>
  <c r="K173" i="23"/>
  <c r="K190" i="23"/>
  <c r="I212" i="23"/>
  <c r="J203" i="23"/>
  <c r="K212" i="23"/>
  <c r="M140" i="22"/>
  <c r="M91" i="22"/>
  <c r="M81" i="22"/>
  <c r="M85" i="22"/>
  <c r="M87" i="22"/>
  <c r="K80" i="22"/>
  <c r="K183" i="22"/>
  <c r="G58" i="22"/>
  <c r="M58" i="22"/>
  <c r="M59" i="22"/>
  <c r="M60" i="22"/>
  <c r="M30" i="22"/>
  <c r="M118" i="22"/>
  <c r="C31" i="22"/>
  <c r="M31" i="22"/>
  <c r="M36" i="22"/>
  <c r="K175" i="22"/>
  <c r="K176" i="22"/>
  <c r="C32" i="22"/>
  <c r="M42" i="22"/>
  <c r="M44" i="22"/>
  <c r="J48" i="22"/>
  <c r="J49" i="22"/>
  <c r="C58" i="22"/>
  <c r="C59" i="22"/>
  <c r="C72" i="22"/>
  <c r="E62" i="22"/>
  <c r="E75" i="22"/>
  <c r="I62" i="22"/>
  <c r="K62" i="22"/>
  <c r="M72" i="22"/>
  <c r="K86" i="22"/>
  <c r="K105" i="22"/>
  <c r="K110" i="22"/>
  <c r="K97" i="22"/>
  <c r="K104" i="22"/>
  <c r="B114" i="22"/>
  <c r="B168" i="22"/>
  <c r="B222" i="22"/>
  <c r="M127" i="22"/>
  <c r="M153" i="22"/>
  <c r="K154" i="22"/>
  <c r="K169" i="22"/>
  <c r="K173" i="22"/>
  <c r="K190" i="22"/>
  <c r="I212" i="22"/>
  <c r="K212" i="22"/>
  <c r="L203" i="22"/>
  <c r="M82" i="21"/>
  <c r="M86" i="21"/>
  <c r="M88" i="21"/>
  <c r="M92" i="21"/>
  <c r="K81" i="21"/>
  <c r="K184" i="21"/>
  <c r="G59" i="21"/>
  <c r="M60" i="21"/>
  <c r="M61" i="21"/>
  <c r="M30" i="21"/>
  <c r="C31" i="21"/>
  <c r="M31" i="21"/>
  <c r="M36" i="21"/>
  <c r="K176" i="21"/>
  <c r="K177" i="21"/>
  <c r="C32" i="21"/>
  <c r="M32" i="21"/>
  <c r="M42" i="21"/>
  <c r="J48" i="21"/>
  <c r="J49" i="21"/>
  <c r="C59" i="21"/>
  <c r="C60" i="21"/>
  <c r="C63" i="21"/>
  <c r="C73" i="21"/>
  <c r="E63" i="21"/>
  <c r="E76" i="21"/>
  <c r="I63" i="21"/>
  <c r="K63" i="21"/>
  <c r="M73" i="21"/>
  <c r="K98" i="21"/>
  <c r="K106" i="21"/>
  <c r="K111" i="21"/>
  <c r="K87" i="21"/>
  <c r="K105" i="21"/>
  <c r="B115" i="21"/>
  <c r="B169" i="21"/>
  <c r="B223" i="21"/>
  <c r="M128" i="21"/>
  <c r="M141" i="21"/>
  <c r="M154" i="21"/>
  <c r="K155" i="21"/>
  <c r="K170" i="21"/>
  <c r="K174" i="21"/>
  <c r="K191" i="21"/>
  <c r="I213" i="21"/>
  <c r="J207" i="21"/>
  <c r="K213" i="21"/>
  <c r="L209" i="21"/>
  <c r="M92" i="20"/>
  <c r="M82" i="20"/>
  <c r="M86" i="20"/>
  <c r="M88" i="20"/>
  <c r="K81" i="20"/>
  <c r="K184" i="20"/>
  <c r="G59" i="20"/>
  <c r="M59" i="20"/>
  <c r="M30" i="20"/>
  <c r="C31" i="20"/>
  <c r="M31" i="20"/>
  <c r="M36" i="20"/>
  <c r="K176" i="20"/>
  <c r="K177" i="20"/>
  <c r="C32" i="20"/>
  <c r="M32" i="20"/>
  <c r="M42" i="20"/>
  <c r="J48" i="20"/>
  <c r="J49" i="20"/>
  <c r="C59" i="20"/>
  <c r="C60" i="20"/>
  <c r="C63" i="20"/>
  <c r="C73" i="20"/>
  <c r="M60" i="20"/>
  <c r="M61" i="20"/>
  <c r="E63" i="20"/>
  <c r="E76" i="20"/>
  <c r="I63" i="20"/>
  <c r="K63" i="20"/>
  <c r="M73" i="20"/>
  <c r="K98" i="20"/>
  <c r="K106" i="20"/>
  <c r="K111" i="20"/>
  <c r="K87" i="20"/>
  <c r="K105" i="20"/>
  <c r="B115" i="20"/>
  <c r="B169" i="20"/>
  <c r="B223" i="20"/>
  <c r="M128" i="20"/>
  <c r="M141" i="20"/>
  <c r="M154" i="20"/>
  <c r="K155" i="20"/>
  <c r="K170" i="20"/>
  <c r="K174" i="20"/>
  <c r="K191" i="20"/>
  <c r="I213" i="20"/>
  <c r="J207" i="20"/>
  <c r="K213" i="20"/>
  <c r="M92" i="19"/>
  <c r="M82" i="19"/>
  <c r="M86" i="19"/>
  <c r="M88" i="19"/>
  <c r="K81" i="19"/>
  <c r="K184" i="19"/>
  <c r="G59" i="19"/>
  <c r="M30" i="19"/>
  <c r="C31" i="19"/>
  <c r="M31" i="19"/>
  <c r="M36" i="19"/>
  <c r="K176" i="19"/>
  <c r="K177" i="19"/>
  <c r="C32" i="19"/>
  <c r="M42" i="19"/>
  <c r="J48" i="19"/>
  <c r="J49" i="19"/>
  <c r="C59" i="19"/>
  <c r="M60" i="19"/>
  <c r="M61" i="19"/>
  <c r="C60" i="19"/>
  <c r="C73" i="19"/>
  <c r="E63" i="19"/>
  <c r="E76" i="19"/>
  <c r="I63" i="19"/>
  <c r="K63" i="19"/>
  <c r="M73" i="19"/>
  <c r="K98" i="19"/>
  <c r="K106" i="19"/>
  <c r="K111" i="19"/>
  <c r="K87" i="19"/>
  <c r="K105" i="19"/>
  <c r="B115" i="19"/>
  <c r="B169" i="19"/>
  <c r="B223" i="19"/>
  <c r="M128" i="19"/>
  <c r="M141" i="19"/>
  <c r="M154" i="19"/>
  <c r="K155" i="19"/>
  <c r="K170" i="19"/>
  <c r="K174" i="19"/>
  <c r="K191" i="19"/>
  <c r="I213" i="19"/>
  <c r="J207" i="19"/>
  <c r="J211" i="19"/>
  <c r="K213" i="19"/>
  <c r="M92" i="18"/>
  <c r="M82" i="18"/>
  <c r="M86" i="18"/>
  <c r="M88" i="18"/>
  <c r="K81" i="18"/>
  <c r="G59" i="18"/>
  <c r="M59" i="18"/>
  <c r="M60" i="18"/>
  <c r="M61" i="18"/>
  <c r="M30" i="18"/>
  <c r="M44" i="18"/>
  <c r="C31" i="18"/>
  <c r="M31" i="18"/>
  <c r="M36" i="18"/>
  <c r="K176" i="18"/>
  <c r="K177" i="18"/>
  <c r="C32" i="18"/>
  <c r="M42" i="18"/>
  <c r="J48" i="18"/>
  <c r="J49" i="18"/>
  <c r="C59" i="18"/>
  <c r="C60" i="18"/>
  <c r="C73" i="18"/>
  <c r="E63" i="18"/>
  <c r="E76" i="18"/>
  <c r="I63" i="18"/>
  <c r="K63" i="18"/>
  <c r="M73" i="18"/>
  <c r="K98" i="18"/>
  <c r="K106" i="18"/>
  <c r="K111" i="18"/>
  <c r="K87" i="18"/>
  <c r="K105" i="18"/>
  <c r="B115" i="18"/>
  <c r="B169" i="18"/>
  <c r="B223" i="18"/>
  <c r="M128" i="18"/>
  <c r="M141" i="18"/>
  <c r="M154" i="18"/>
  <c r="K155" i="18"/>
  <c r="K170" i="18"/>
  <c r="K174" i="18"/>
  <c r="K184" i="18"/>
  <c r="K191" i="18"/>
  <c r="I213" i="18"/>
  <c r="K213" i="18"/>
  <c r="M92" i="17"/>
  <c r="M82" i="17"/>
  <c r="M86" i="17"/>
  <c r="M88" i="17"/>
  <c r="K81" i="17"/>
  <c r="K184" i="17"/>
  <c r="G59" i="17"/>
  <c r="M59" i="17"/>
  <c r="M30" i="17"/>
  <c r="C31" i="17"/>
  <c r="M31" i="17"/>
  <c r="M36" i="17"/>
  <c r="K176" i="17"/>
  <c r="K177" i="17"/>
  <c r="C32" i="17"/>
  <c r="M32" i="17"/>
  <c r="M42" i="17"/>
  <c r="J48" i="17"/>
  <c r="J49" i="17"/>
  <c r="C59" i="17"/>
  <c r="M60" i="17"/>
  <c r="M61" i="17"/>
  <c r="C60" i="17"/>
  <c r="C73" i="17"/>
  <c r="E63" i="17"/>
  <c r="E76" i="17"/>
  <c r="I63" i="17"/>
  <c r="K63" i="17"/>
  <c r="M73" i="17"/>
  <c r="K87" i="17"/>
  <c r="K98" i="17"/>
  <c r="K106" i="17"/>
  <c r="K111" i="17"/>
  <c r="K105" i="17"/>
  <c r="B115" i="17"/>
  <c r="B169" i="17"/>
  <c r="B223" i="17"/>
  <c r="M128" i="17"/>
  <c r="M141" i="17"/>
  <c r="M154" i="17"/>
  <c r="K155" i="17"/>
  <c r="K170" i="17"/>
  <c r="K174" i="17"/>
  <c r="K191" i="17"/>
  <c r="I213" i="17"/>
  <c r="J205" i="17"/>
  <c r="J204" i="17"/>
  <c r="K213" i="17"/>
  <c r="L204" i="17"/>
  <c r="M92" i="16"/>
  <c r="M82" i="16"/>
  <c r="M86" i="16"/>
  <c r="M88" i="16"/>
  <c r="K81" i="16"/>
  <c r="K184" i="16"/>
  <c r="G59" i="16"/>
  <c r="M60" i="16"/>
  <c r="M61" i="16"/>
  <c r="M30" i="16"/>
  <c r="M119" i="16"/>
  <c r="C31" i="16"/>
  <c r="M31" i="16"/>
  <c r="M36" i="16"/>
  <c r="K176" i="16"/>
  <c r="K177" i="16"/>
  <c r="C32" i="16"/>
  <c r="M43" i="16"/>
  <c r="M42" i="16"/>
  <c r="J48" i="16"/>
  <c r="J49" i="16"/>
  <c r="C59" i="16"/>
  <c r="C60" i="16"/>
  <c r="C73" i="16"/>
  <c r="E63" i="16"/>
  <c r="E76" i="16"/>
  <c r="I63" i="16"/>
  <c r="K63" i="16"/>
  <c r="M73" i="16"/>
  <c r="K87" i="16"/>
  <c r="K98" i="16"/>
  <c r="K106" i="16"/>
  <c r="K111" i="16"/>
  <c r="K105" i="16"/>
  <c r="B115" i="16"/>
  <c r="B169" i="16"/>
  <c r="B223" i="16"/>
  <c r="M128" i="16"/>
  <c r="M141" i="16"/>
  <c r="M154" i="16"/>
  <c r="K155" i="16"/>
  <c r="K170" i="16"/>
  <c r="K174" i="16"/>
  <c r="K191" i="16"/>
  <c r="I213" i="16"/>
  <c r="J204" i="16"/>
  <c r="K213" i="16"/>
  <c r="I59" i="15"/>
  <c r="M92" i="15"/>
  <c r="M83" i="15"/>
  <c r="M82" i="15"/>
  <c r="G59" i="15"/>
  <c r="C32" i="15"/>
  <c r="M30" i="15"/>
  <c r="M119" i="15"/>
  <c r="C31" i="15"/>
  <c r="M31" i="15"/>
  <c r="M36" i="15"/>
  <c r="K176" i="15"/>
  <c r="K177" i="15"/>
  <c r="M42" i="15"/>
  <c r="J48" i="15"/>
  <c r="J49" i="15"/>
  <c r="C59" i="15"/>
  <c r="M60" i="15"/>
  <c r="M61" i="15"/>
  <c r="C60" i="15"/>
  <c r="C73" i="15"/>
  <c r="E63" i="15"/>
  <c r="E76" i="15"/>
  <c r="K63" i="15"/>
  <c r="M73" i="15"/>
  <c r="K105" i="15"/>
  <c r="B115" i="15"/>
  <c r="B169" i="15"/>
  <c r="B223" i="15"/>
  <c r="M128" i="15"/>
  <c r="M141" i="15"/>
  <c r="M154" i="15"/>
  <c r="K155" i="15"/>
  <c r="K170" i="15"/>
  <c r="K174" i="15"/>
  <c r="I213" i="15"/>
  <c r="K213" i="15"/>
  <c r="L204" i="15"/>
  <c r="M83" i="14"/>
  <c r="M92" i="14"/>
  <c r="M82" i="14"/>
  <c r="G59" i="14"/>
  <c r="I59" i="14"/>
  <c r="M30" i="14"/>
  <c r="C31" i="14"/>
  <c r="M31" i="14"/>
  <c r="M36" i="14"/>
  <c r="K176" i="14"/>
  <c r="K177" i="14"/>
  <c r="C32" i="14"/>
  <c r="M32" i="14"/>
  <c r="M43" i="14"/>
  <c r="M42" i="14"/>
  <c r="J48" i="14"/>
  <c r="J49" i="14"/>
  <c r="C59" i="14"/>
  <c r="C60" i="14"/>
  <c r="M60" i="14"/>
  <c r="M61" i="14"/>
  <c r="C73" i="14"/>
  <c r="E63" i="14"/>
  <c r="I63" i="14"/>
  <c r="K63" i="14"/>
  <c r="M73" i="14"/>
  <c r="E76" i="14"/>
  <c r="K105" i="14"/>
  <c r="B115" i="14"/>
  <c r="B169" i="14"/>
  <c r="B223" i="14"/>
  <c r="M128" i="14"/>
  <c r="M141" i="14"/>
  <c r="M154" i="14"/>
  <c r="K155" i="14"/>
  <c r="K170" i="14"/>
  <c r="K174" i="14"/>
  <c r="K184" i="14"/>
  <c r="I213" i="14"/>
  <c r="J210" i="14"/>
  <c r="K213" i="14"/>
  <c r="L204" i="14"/>
  <c r="M92" i="13"/>
  <c r="M82" i="13"/>
  <c r="M86" i="13"/>
  <c r="M88" i="13"/>
  <c r="G59" i="13"/>
  <c r="I59" i="13"/>
  <c r="K191" i="13"/>
  <c r="M60" i="13"/>
  <c r="M61" i="13"/>
  <c r="E63" i="13"/>
  <c r="E76" i="13"/>
  <c r="I213" i="13"/>
  <c r="J205" i="13"/>
  <c r="M30" i="13"/>
  <c r="C31" i="13"/>
  <c r="M31" i="13"/>
  <c r="M36" i="13"/>
  <c r="K176" i="13"/>
  <c r="K177" i="13"/>
  <c r="C32" i="13"/>
  <c r="M32" i="13"/>
  <c r="M42" i="13"/>
  <c r="J48" i="13"/>
  <c r="J49" i="13"/>
  <c r="C59" i="13"/>
  <c r="C60" i="13"/>
  <c r="C73" i="13"/>
  <c r="K63" i="13"/>
  <c r="M73" i="13"/>
  <c r="K105" i="13"/>
  <c r="B115" i="13"/>
  <c r="B169" i="13"/>
  <c r="B223" i="13"/>
  <c r="M128" i="13"/>
  <c r="M141" i="13"/>
  <c r="M142" i="13"/>
  <c r="M154" i="13"/>
  <c r="K155" i="13"/>
  <c r="K170" i="13"/>
  <c r="K174" i="13"/>
  <c r="K184" i="13"/>
  <c r="K213" i="13"/>
  <c r="M92" i="12"/>
  <c r="M82" i="12"/>
  <c r="M86" i="12"/>
  <c r="M88" i="12"/>
  <c r="G59" i="12"/>
  <c r="I59" i="12"/>
  <c r="M60" i="12"/>
  <c r="M61" i="12"/>
  <c r="M30" i="12"/>
  <c r="C31" i="12"/>
  <c r="M31" i="12"/>
  <c r="M36" i="12"/>
  <c r="K176" i="12"/>
  <c r="K177" i="12"/>
  <c r="C32" i="12"/>
  <c r="M43" i="12"/>
  <c r="M42" i="12"/>
  <c r="J48" i="12"/>
  <c r="J49" i="12"/>
  <c r="C59" i="12"/>
  <c r="C60" i="12"/>
  <c r="C73" i="12"/>
  <c r="E63" i="12"/>
  <c r="E76" i="12"/>
  <c r="K63" i="12"/>
  <c r="M73" i="12"/>
  <c r="K105" i="12"/>
  <c r="B115" i="12"/>
  <c r="B169" i="12"/>
  <c r="B223" i="12"/>
  <c r="M128" i="12"/>
  <c r="M141" i="12"/>
  <c r="M154" i="12"/>
  <c r="K155" i="12"/>
  <c r="K170" i="12"/>
  <c r="K174" i="12"/>
  <c r="I213" i="12"/>
  <c r="K213" i="12"/>
  <c r="M82" i="11"/>
  <c r="M86" i="11"/>
  <c r="M88" i="11"/>
  <c r="K178" i="11"/>
  <c r="M92" i="11"/>
  <c r="G59" i="11"/>
  <c r="I59" i="11"/>
  <c r="K191" i="11"/>
  <c r="M60" i="11"/>
  <c r="M61" i="11"/>
  <c r="M30" i="11"/>
  <c r="C31" i="11"/>
  <c r="M31" i="11"/>
  <c r="M36" i="11"/>
  <c r="K176" i="11"/>
  <c r="K177" i="11"/>
  <c r="C32" i="11"/>
  <c r="M42" i="11"/>
  <c r="M44" i="11"/>
  <c r="J48" i="11"/>
  <c r="J49" i="11"/>
  <c r="C59" i="11"/>
  <c r="C60" i="11"/>
  <c r="C73" i="11"/>
  <c r="E63" i="11"/>
  <c r="E76" i="11"/>
  <c r="K63" i="11"/>
  <c r="M73" i="11"/>
  <c r="K105" i="11"/>
  <c r="B115" i="11"/>
  <c r="B169" i="11"/>
  <c r="B223" i="11"/>
  <c r="M119" i="11"/>
  <c r="M128" i="11"/>
  <c r="M141" i="11"/>
  <c r="M154" i="11"/>
  <c r="K155" i="11"/>
  <c r="K170" i="11"/>
  <c r="K174" i="11"/>
  <c r="I213" i="11"/>
  <c r="K213" i="11"/>
  <c r="G59" i="10"/>
  <c r="I59" i="10"/>
  <c r="I63" i="10"/>
  <c r="M60" i="10"/>
  <c r="M61" i="10"/>
  <c r="M92" i="10"/>
  <c r="M82" i="10"/>
  <c r="M86" i="10"/>
  <c r="M88" i="10"/>
  <c r="I213" i="10"/>
  <c r="M30" i="10"/>
  <c r="M119" i="10"/>
  <c r="C31" i="10"/>
  <c r="M31" i="10"/>
  <c r="M36" i="10"/>
  <c r="K176" i="10"/>
  <c r="K177" i="10"/>
  <c r="C32" i="10"/>
  <c r="M42" i="10"/>
  <c r="J48" i="10"/>
  <c r="J49" i="10"/>
  <c r="C59" i="10"/>
  <c r="C60" i="10"/>
  <c r="C73" i="10"/>
  <c r="E63" i="10"/>
  <c r="E76" i="10"/>
  <c r="K63" i="10"/>
  <c r="M73" i="10"/>
  <c r="K105" i="10"/>
  <c r="B115" i="10"/>
  <c r="B169" i="10"/>
  <c r="B223" i="10"/>
  <c r="M128" i="10"/>
  <c r="M141" i="10"/>
  <c r="M142" i="10"/>
  <c r="M154" i="10"/>
  <c r="K155" i="10"/>
  <c r="K170" i="10"/>
  <c r="K174" i="10"/>
  <c r="K213" i="10"/>
  <c r="M92" i="9"/>
  <c r="M82" i="9"/>
  <c r="M86" i="9"/>
  <c r="M88" i="9"/>
  <c r="G59" i="9"/>
  <c r="I59" i="9"/>
  <c r="M60" i="9"/>
  <c r="M61" i="9"/>
  <c r="I213" i="9"/>
  <c r="J208" i="9"/>
  <c r="M30" i="9"/>
  <c r="M119" i="9"/>
  <c r="C31" i="9"/>
  <c r="M31" i="9"/>
  <c r="M36" i="9"/>
  <c r="K176" i="9"/>
  <c r="K177" i="9"/>
  <c r="C32" i="9"/>
  <c r="M42" i="9"/>
  <c r="J48" i="9"/>
  <c r="J49" i="9"/>
  <c r="C59" i="9"/>
  <c r="C60" i="9"/>
  <c r="C73" i="9"/>
  <c r="E63" i="9"/>
  <c r="K63" i="9"/>
  <c r="M73" i="9"/>
  <c r="E76" i="9"/>
  <c r="K105" i="9"/>
  <c r="B115" i="9"/>
  <c r="B169" i="9"/>
  <c r="B223" i="9"/>
  <c r="M128" i="9"/>
  <c r="M141" i="9"/>
  <c r="M142" i="9"/>
  <c r="M154" i="9"/>
  <c r="K155" i="9"/>
  <c r="K170" i="9"/>
  <c r="K174" i="9"/>
  <c r="K213" i="9"/>
  <c r="L208" i="9"/>
  <c r="I213" i="8"/>
  <c r="I213" i="7"/>
  <c r="I213" i="6"/>
  <c r="I213" i="5"/>
  <c r="I215" i="5"/>
  <c r="I213" i="4"/>
  <c r="I215" i="4"/>
  <c r="I211" i="3"/>
  <c r="K184" i="8"/>
  <c r="M92" i="8"/>
  <c r="M82" i="8"/>
  <c r="M86" i="8"/>
  <c r="M88" i="8"/>
  <c r="G59" i="8"/>
  <c r="I59" i="8"/>
  <c r="M59" i="8"/>
  <c r="M60" i="8"/>
  <c r="M61" i="8"/>
  <c r="M63" i="8"/>
  <c r="M30" i="8"/>
  <c r="M44" i="8"/>
  <c r="C31" i="8"/>
  <c r="M31" i="8"/>
  <c r="M36" i="8"/>
  <c r="K176" i="8"/>
  <c r="K177" i="8"/>
  <c r="C32" i="8"/>
  <c r="M43" i="8"/>
  <c r="M42" i="8"/>
  <c r="J48" i="8"/>
  <c r="J49" i="8"/>
  <c r="C59" i="8"/>
  <c r="C60" i="8"/>
  <c r="C73" i="8"/>
  <c r="E63" i="8"/>
  <c r="E76" i="8"/>
  <c r="G63" i="8"/>
  <c r="K63" i="8"/>
  <c r="M73" i="8"/>
  <c r="K105" i="8"/>
  <c r="B115" i="8"/>
  <c r="B169" i="8"/>
  <c r="B223" i="8"/>
  <c r="M128" i="8"/>
  <c r="M141" i="8"/>
  <c r="M154" i="8"/>
  <c r="K155" i="8"/>
  <c r="K170" i="8"/>
  <c r="K174" i="8"/>
  <c r="K191" i="8"/>
  <c r="K213" i="8"/>
  <c r="L210" i="8"/>
  <c r="J209" i="8"/>
  <c r="M82" i="6"/>
  <c r="M86" i="6"/>
  <c r="M88" i="6"/>
  <c r="M82" i="5"/>
  <c r="M86" i="5"/>
  <c r="M88" i="5"/>
  <c r="K178" i="5"/>
  <c r="M82" i="4"/>
  <c r="M86" i="4"/>
  <c r="M88" i="4"/>
  <c r="M82" i="3"/>
  <c r="M84" i="3"/>
  <c r="M86" i="3"/>
  <c r="K176" i="3"/>
  <c r="M82" i="2"/>
  <c r="M84" i="2"/>
  <c r="M86" i="2"/>
  <c r="M81" i="1"/>
  <c r="M83" i="1"/>
  <c r="M85" i="1"/>
  <c r="C58" i="1"/>
  <c r="M82" i="7"/>
  <c r="M86" i="7"/>
  <c r="M88" i="7"/>
  <c r="I59" i="7"/>
  <c r="K191" i="7"/>
  <c r="I59" i="6"/>
  <c r="I59" i="5"/>
  <c r="I63" i="5"/>
  <c r="I59" i="4"/>
  <c r="I59" i="3"/>
  <c r="I59" i="2"/>
  <c r="K189" i="2"/>
  <c r="K188" i="1"/>
  <c r="M126" i="2"/>
  <c r="M126" i="3"/>
  <c r="M128" i="4"/>
  <c r="M128" i="5"/>
  <c r="M128" i="6"/>
  <c r="M128" i="7"/>
  <c r="M92" i="7"/>
  <c r="G59" i="7"/>
  <c r="G63" i="7"/>
  <c r="M60" i="7"/>
  <c r="M61" i="7"/>
  <c r="E63" i="7"/>
  <c r="E76" i="7"/>
  <c r="M30" i="7"/>
  <c r="C31" i="7"/>
  <c r="M31" i="7"/>
  <c r="M36" i="7"/>
  <c r="K176" i="7"/>
  <c r="K177" i="7"/>
  <c r="C32" i="7"/>
  <c r="M32" i="7"/>
  <c r="M42" i="7"/>
  <c r="J48" i="7"/>
  <c r="J49" i="7"/>
  <c r="C59" i="7"/>
  <c r="C60" i="7"/>
  <c r="C73" i="7"/>
  <c r="K63" i="7"/>
  <c r="M73" i="7"/>
  <c r="K105" i="7"/>
  <c r="B115" i="7"/>
  <c r="B169" i="7"/>
  <c r="B223" i="7"/>
  <c r="M141" i="7"/>
  <c r="M154" i="7"/>
  <c r="K155" i="7"/>
  <c r="K170" i="7"/>
  <c r="K174" i="7"/>
  <c r="K184" i="7"/>
  <c r="J207" i="7"/>
  <c r="J211" i="7"/>
  <c r="K213" i="7"/>
  <c r="L204" i="7"/>
  <c r="L211" i="7"/>
  <c r="M92" i="6"/>
  <c r="G59" i="6"/>
  <c r="M60" i="6"/>
  <c r="M61" i="6"/>
  <c r="M30" i="6"/>
  <c r="M44" i="6"/>
  <c r="C31" i="6"/>
  <c r="M31" i="6"/>
  <c r="M36" i="6"/>
  <c r="K176" i="6"/>
  <c r="K177" i="6"/>
  <c r="C32" i="6"/>
  <c r="M42" i="6"/>
  <c r="J48" i="6"/>
  <c r="J49" i="6"/>
  <c r="C59" i="6"/>
  <c r="C60" i="6"/>
  <c r="C73" i="6"/>
  <c r="E63" i="6"/>
  <c r="E76" i="6"/>
  <c r="K63" i="6"/>
  <c r="M73" i="6"/>
  <c r="K105" i="6"/>
  <c r="B115" i="6"/>
  <c r="B169" i="6"/>
  <c r="B223" i="6"/>
  <c r="M141" i="6"/>
  <c r="M142" i="6"/>
  <c r="M154" i="6"/>
  <c r="K155" i="6"/>
  <c r="K170" i="6"/>
  <c r="K174" i="6"/>
  <c r="K184" i="6"/>
  <c r="J204" i="6"/>
  <c r="K213" i="6"/>
  <c r="J207" i="6"/>
  <c r="M42" i="5"/>
  <c r="M92" i="5"/>
  <c r="C31" i="5"/>
  <c r="M31" i="5"/>
  <c r="M36" i="5"/>
  <c r="K176" i="5"/>
  <c r="K177" i="5"/>
  <c r="G59" i="5"/>
  <c r="E63" i="5"/>
  <c r="E76" i="5"/>
  <c r="K170" i="5"/>
  <c r="M30" i="5"/>
  <c r="M119" i="5"/>
  <c r="C32" i="5"/>
  <c r="J48" i="5"/>
  <c r="J49" i="5"/>
  <c r="C59" i="5"/>
  <c r="C60" i="5"/>
  <c r="C73" i="5"/>
  <c r="M60" i="5"/>
  <c r="M61" i="5"/>
  <c r="K63" i="5"/>
  <c r="M73" i="5"/>
  <c r="K105" i="5"/>
  <c r="B115" i="5"/>
  <c r="B169" i="5"/>
  <c r="B223" i="5"/>
  <c r="M141" i="5"/>
  <c r="M142" i="5"/>
  <c r="M154" i="5"/>
  <c r="K155" i="5"/>
  <c r="K174" i="5"/>
  <c r="K184" i="5"/>
  <c r="J204" i="5"/>
  <c r="J205" i="5"/>
  <c r="J206" i="5"/>
  <c r="J207" i="5"/>
  <c r="J208" i="5"/>
  <c r="J209" i="5"/>
  <c r="J210" i="5"/>
  <c r="J211" i="5"/>
  <c r="J212" i="5"/>
  <c r="K213" i="5"/>
  <c r="L210" i="5"/>
  <c r="G59" i="4"/>
  <c r="G63" i="4"/>
  <c r="M92" i="4"/>
  <c r="M30" i="4"/>
  <c r="C31" i="4"/>
  <c r="M31" i="4"/>
  <c r="M36" i="4"/>
  <c r="K176" i="4"/>
  <c r="K177" i="4"/>
  <c r="C32" i="4"/>
  <c r="M42" i="4"/>
  <c r="J48" i="4"/>
  <c r="J49" i="4"/>
  <c r="C59" i="4"/>
  <c r="C60" i="4"/>
  <c r="C73" i="4"/>
  <c r="M60" i="4"/>
  <c r="M61" i="4"/>
  <c r="E63" i="4"/>
  <c r="E76" i="4"/>
  <c r="K63" i="4"/>
  <c r="M73" i="4"/>
  <c r="K105" i="4"/>
  <c r="B115" i="4"/>
  <c r="B169" i="4"/>
  <c r="B223" i="4"/>
  <c r="M141" i="4"/>
  <c r="M154" i="4"/>
  <c r="K155" i="4"/>
  <c r="K170" i="4"/>
  <c r="K174" i="4"/>
  <c r="K184" i="4"/>
  <c r="J204" i="4"/>
  <c r="K213" i="4"/>
  <c r="L211" i="4"/>
  <c r="J205" i="4"/>
  <c r="J206" i="4"/>
  <c r="J207" i="4"/>
  <c r="J208" i="4"/>
  <c r="J209" i="4"/>
  <c r="J210" i="4"/>
  <c r="J211" i="4"/>
  <c r="J212" i="4"/>
  <c r="G59" i="3"/>
  <c r="G63" i="3"/>
  <c r="M90" i="3"/>
  <c r="M30" i="3"/>
  <c r="C31" i="3"/>
  <c r="M31" i="3"/>
  <c r="M36" i="3"/>
  <c r="K174" i="3"/>
  <c r="K175" i="3"/>
  <c r="C32" i="3"/>
  <c r="M32" i="3"/>
  <c r="M42" i="3"/>
  <c r="J48" i="3"/>
  <c r="J49" i="3"/>
  <c r="C59" i="3"/>
  <c r="M60" i="3"/>
  <c r="M61" i="3"/>
  <c r="C60" i="3"/>
  <c r="C63" i="3"/>
  <c r="C73" i="3"/>
  <c r="C76" i="3"/>
  <c r="E63" i="3"/>
  <c r="E76" i="3"/>
  <c r="K63" i="3"/>
  <c r="M73" i="3"/>
  <c r="K103" i="3"/>
  <c r="B113" i="3"/>
  <c r="B167" i="3"/>
  <c r="B221" i="3"/>
  <c r="M139" i="3"/>
  <c r="M140" i="3"/>
  <c r="M151" i="3"/>
  <c r="M152" i="3"/>
  <c r="K153" i="3"/>
  <c r="K168" i="3"/>
  <c r="K172" i="3"/>
  <c r="K182" i="3"/>
  <c r="J202" i="3"/>
  <c r="J203" i="3"/>
  <c r="J206" i="3"/>
  <c r="J207" i="3"/>
  <c r="J210" i="3"/>
  <c r="K211" i="3"/>
  <c r="L206" i="3"/>
  <c r="C31" i="2"/>
  <c r="M31" i="2"/>
  <c r="M36" i="2"/>
  <c r="K174" i="2"/>
  <c r="K175" i="2"/>
  <c r="J48" i="2"/>
  <c r="K209" i="2"/>
  <c r="K208" i="2"/>
  <c r="M60" i="2"/>
  <c r="I211" i="2"/>
  <c r="J202" i="2"/>
  <c r="G59" i="2"/>
  <c r="M59" i="2"/>
  <c r="M61" i="2"/>
  <c r="M90" i="2"/>
  <c r="M73" i="2"/>
  <c r="M30" i="2"/>
  <c r="C32" i="2"/>
  <c r="M42" i="2"/>
  <c r="J49" i="2"/>
  <c r="C59" i="2"/>
  <c r="C60" i="2"/>
  <c r="E63" i="2"/>
  <c r="E76" i="2"/>
  <c r="I63" i="2"/>
  <c r="K63" i="2"/>
  <c r="C73" i="2"/>
  <c r="K103" i="2"/>
  <c r="B113" i="2"/>
  <c r="B167" i="2"/>
  <c r="B221" i="2"/>
  <c r="M139" i="2"/>
  <c r="M140" i="2"/>
  <c r="M151" i="2"/>
  <c r="M152" i="2"/>
  <c r="K153" i="2"/>
  <c r="K168" i="2"/>
  <c r="K172" i="2"/>
  <c r="E58" i="1"/>
  <c r="E62" i="1"/>
  <c r="E75" i="1"/>
  <c r="M89" i="1"/>
  <c r="M29" i="1"/>
  <c r="M116" i="1"/>
  <c r="M125" i="1"/>
  <c r="K208" i="1"/>
  <c r="L206" i="1"/>
  <c r="M59" i="1"/>
  <c r="K209" i="1"/>
  <c r="G58" i="1"/>
  <c r="G62" i="1"/>
  <c r="M60" i="1"/>
  <c r="M72" i="1"/>
  <c r="M138" i="1"/>
  <c r="M139" i="1"/>
  <c r="C31" i="1"/>
  <c r="M41" i="1"/>
  <c r="C30" i="1"/>
  <c r="M30" i="1"/>
  <c r="I208" i="1"/>
  <c r="J205" i="1"/>
  <c r="C59" i="1"/>
  <c r="C62" i="1"/>
  <c r="C72" i="1"/>
  <c r="C75" i="1"/>
  <c r="I62" i="1"/>
  <c r="J48" i="1"/>
  <c r="K62" i="1"/>
  <c r="K102" i="1"/>
  <c r="B112" i="1"/>
  <c r="B166" i="1"/>
  <c r="B218" i="1"/>
  <c r="M151" i="1"/>
  <c r="K167" i="1"/>
  <c r="M150" i="1"/>
  <c r="K152" i="1"/>
  <c r="M152" i="1"/>
  <c r="K178" i="16"/>
  <c r="M160" i="17"/>
  <c r="M142" i="20"/>
  <c r="J201" i="1"/>
  <c r="J203" i="1"/>
  <c r="J206" i="2"/>
  <c r="J211" i="13"/>
  <c r="J207" i="13"/>
  <c r="L212" i="15"/>
  <c r="L211" i="15"/>
  <c r="L210" i="15"/>
  <c r="L209" i="15"/>
  <c r="L208" i="15"/>
  <c r="L207" i="15"/>
  <c r="L206" i="15"/>
  <c r="L205" i="15"/>
  <c r="M142" i="21"/>
  <c r="L209" i="18"/>
  <c r="L205" i="18"/>
  <c r="L211" i="22"/>
  <c r="L210" i="22"/>
  <c r="L209" i="22"/>
  <c r="L208" i="22"/>
  <c r="L207" i="22"/>
  <c r="L206" i="22"/>
  <c r="L205" i="22"/>
  <c r="L204" i="22"/>
  <c r="L211" i="24"/>
  <c r="L210" i="24"/>
  <c r="L209" i="24"/>
  <c r="L208" i="24"/>
  <c r="L207" i="24"/>
  <c r="L206" i="24"/>
  <c r="L205" i="24"/>
  <c r="L204" i="24"/>
  <c r="J211" i="24"/>
  <c r="J210" i="24"/>
  <c r="J207" i="24"/>
  <c r="J206" i="24"/>
  <c r="J210" i="8"/>
  <c r="J208" i="8"/>
  <c r="I63" i="8"/>
  <c r="G63" i="9"/>
  <c r="M44" i="9"/>
  <c r="J212" i="10"/>
  <c r="J210" i="10"/>
  <c r="J208" i="10"/>
  <c r="J206" i="10"/>
  <c r="J204" i="10"/>
  <c r="M44" i="10"/>
  <c r="L212" i="11"/>
  <c r="L211" i="11"/>
  <c r="L210" i="11"/>
  <c r="L209" i="11"/>
  <c r="L208" i="11"/>
  <c r="L207" i="11"/>
  <c r="L206" i="11"/>
  <c r="L205" i="11"/>
  <c r="I63" i="11"/>
  <c r="L212" i="12"/>
  <c r="L211" i="12"/>
  <c r="L210" i="12"/>
  <c r="L209" i="12"/>
  <c r="L208" i="12"/>
  <c r="L207" i="12"/>
  <c r="L206" i="12"/>
  <c r="L205" i="12"/>
  <c r="L212" i="13"/>
  <c r="L208" i="13"/>
  <c r="J204" i="13"/>
  <c r="G63" i="13"/>
  <c r="M163" i="22"/>
  <c r="M163" i="25"/>
  <c r="K177" i="25"/>
  <c r="M102" i="25"/>
  <c r="M110" i="25"/>
  <c r="M111" i="25"/>
  <c r="M44" i="5"/>
  <c r="L211" i="14"/>
  <c r="L210" i="14"/>
  <c r="L209" i="14"/>
  <c r="L208" i="14"/>
  <c r="L207" i="14"/>
  <c r="L206" i="14"/>
  <c r="L205" i="14"/>
  <c r="J207" i="15"/>
  <c r="J212" i="16"/>
  <c r="J211" i="16"/>
  <c r="J210" i="16"/>
  <c r="J209" i="16"/>
  <c r="J208" i="16"/>
  <c r="J207" i="16"/>
  <c r="J206" i="16"/>
  <c r="J205" i="16"/>
  <c r="L212" i="17"/>
  <c r="L211" i="17"/>
  <c r="L210" i="17"/>
  <c r="L209" i="17"/>
  <c r="L208" i="17"/>
  <c r="L207" i="17"/>
  <c r="L206" i="17"/>
  <c r="L205" i="17"/>
  <c r="J212" i="18"/>
  <c r="J211" i="18"/>
  <c r="J209" i="18"/>
  <c r="J207" i="18"/>
  <c r="J205" i="18"/>
  <c r="M164" i="18"/>
  <c r="M164" i="19"/>
  <c r="M162" i="20"/>
  <c r="M43" i="20"/>
  <c r="L212" i="21"/>
  <c r="L205" i="21"/>
  <c r="J210" i="22"/>
  <c r="J208" i="22"/>
  <c r="J206" i="22"/>
  <c r="J204" i="22"/>
  <c r="G62" i="22"/>
  <c r="L211" i="23"/>
  <c r="L209" i="23"/>
  <c r="L207" i="23"/>
  <c r="L205" i="23"/>
  <c r="M43" i="23"/>
  <c r="J211" i="25"/>
  <c r="J210" i="25"/>
  <c r="J209" i="25"/>
  <c r="J208" i="25"/>
  <c r="J207" i="25"/>
  <c r="J206" i="25"/>
  <c r="J205" i="25"/>
  <c r="J204" i="25"/>
  <c r="L202" i="1"/>
  <c r="M32" i="9"/>
  <c r="M43" i="9"/>
  <c r="M59" i="7"/>
  <c r="M63" i="7"/>
  <c r="M119" i="8"/>
  <c r="M32" i="10"/>
  <c r="M43" i="10"/>
  <c r="L204" i="20"/>
  <c r="L206" i="20"/>
  <c r="L205" i="20"/>
  <c r="L208" i="20"/>
  <c r="K189" i="3"/>
  <c r="M59" i="3"/>
  <c r="M63" i="3"/>
  <c r="I63" i="3"/>
  <c r="K178" i="13"/>
  <c r="M32" i="2"/>
  <c r="M43" i="2"/>
  <c r="M59" i="6"/>
  <c r="G63" i="6"/>
  <c r="I63" i="7"/>
  <c r="M164" i="17"/>
  <c r="M103" i="17"/>
  <c r="K178" i="17"/>
  <c r="M164" i="13"/>
  <c r="G63" i="5"/>
  <c r="M59" i="5"/>
  <c r="M162" i="16"/>
  <c r="M160" i="16"/>
  <c r="M103" i="16"/>
  <c r="M111" i="16"/>
  <c r="M112" i="16"/>
  <c r="M164" i="16"/>
  <c r="L210" i="3"/>
  <c r="L202" i="3"/>
  <c r="M59" i="11"/>
  <c r="M63" i="11"/>
  <c r="G63" i="11"/>
  <c r="M44" i="16"/>
  <c r="M44" i="17"/>
  <c r="M119" i="17"/>
  <c r="M103" i="19"/>
  <c r="M111" i="19"/>
  <c r="M162" i="19"/>
  <c r="M160" i="19"/>
  <c r="J204" i="21"/>
  <c r="J208" i="21"/>
  <c r="J212" i="21"/>
  <c r="J205" i="21"/>
  <c r="J209" i="21"/>
  <c r="J206" i="21"/>
  <c r="J210" i="21"/>
  <c r="K215" i="5"/>
  <c r="L206" i="8"/>
  <c r="K178" i="20"/>
  <c r="J205" i="26"/>
  <c r="J209" i="26"/>
  <c r="J210" i="26"/>
  <c r="J206" i="26"/>
  <c r="M141" i="26"/>
  <c r="K213" i="3"/>
  <c r="L208" i="3"/>
  <c r="L209" i="5"/>
  <c r="K215" i="7"/>
  <c r="L210" i="7"/>
  <c r="J210" i="11"/>
  <c r="J204" i="12"/>
  <c r="G63" i="12"/>
  <c r="L204" i="13"/>
  <c r="L211" i="13"/>
  <c r="J208" i="14"/>
  <c r="J212" i="14"/>
  <c r="G63" i="14"/>
  <c r="G63" i="18"/>
  <c r="J211" i="21"/>
  <c r="L208" i="16"/>
  <c r="M32" i="16"/>
  <c r="M119" i="18"/>
  <c r="L212" i="19"/>
  <c r="L208" i="19"/>
  <c r="L204" i="19"/>
  <c r="J209" i="20"/>
  <c r="M32" i="22"/>
  <c r="M43" i="22"/>
  <c r="M43" i="26"/>
  <c r="M102" i="26"/>
  <c r="M110" i="26"/>
  <c r="M111" i="26"/>
  <c r="K177" i="26"/>
  <c r="M159" i="26"/>
  <c r="M161" i="26"/>
  <c r="M141" i="25"/>
  <c r="L210" i="19"/>
  <c r="G63" i="20"/>
  <c r="L211" i="25"/>
  <c r="L207" i="25"/>
  <c r="L203" i="25"/>
  <c r="L211" i="26"/>
  <c r="L209" i="26"/>
  <c r="L207" i="26"/>
  <c r="L205" i="26"/>
  <c r="L203" i="26"/>
  <c r="L209" i="25"/>
  <c r="L210" i="26"/>
  <c r="L208" i="26"/>
  <c r="L206" i="26"/>
  <c r="M31" i="27"/>
  <c r="M36" i="27"/>
  <c r="K175" i="27"/>
  <c r="K176" i="27"/>
  <c r="M153" i="2"/>
  <c r="I154" i="2"/>
  <c r="L211" i="6"/>
  <c r="L209" i="6"/>
  <c r="G63" i="10"/>
  <c r="I63" i="12"/>
  <c r="K191" i="12"/>
  <c r="M59" i="21"/>
  <c r="M63" i="21"/>
  <c r="G63" i="21"/>
  <c r="M160" i="21"/>
  <c r="M103" i="21"/>
  <c r="M111" i="21"/>
  <c r="K177" i="22"/>
  <c r="M161" i="22"/>
  <c r="M102" i="22"/>
  <c r="M110" i="22"/>
  <c r="M111" i="22"/>
  <c r="M159" i="22"/>
  <c r="M161" i="24"/>
  <c r="M153" i="3"/>
  <c r="C63" i="4"/>
  <c r="C76" i="4"/>
  <c r="K191" i="4"/>
  <c r="I63" i="4"/>
  <c r="L204" i="4"/>
  <c r="L208" i="4"/>
  <c r="L212" i="4"/>
  <c r="K215" i="4"/>
  <c r="L205" i="4"/>
  <c r="L209" i="4"/>
  <c r="L206" i="4"/>
  <c r="L210" i="4"/>
  <c r="M164" i="8"/>
  <c r="L207" i="4"/>
  <c r="M59" i="4"/>
  <c r="M63" i="4"/>
  <c r="M43" i="4"/>
  <c r="M32" i="4"/>
  <c r="L204" i="11"/>
  <c r="K215" i="11"/>
  <c r="L204" i="12"/>
  <c r="K215" i="12"/>
  <c r="C63" i="15"/>
  <c r="C76" i="15"/>
  <c r="J206" i="1"/>
  <c r="J200" i="1"/>
  <c r="L209" i="3"/>
  <c r="L211" i="5"/>
  <c r="L206" i="7"/>
  <c r="L208" i="7"/>
  <c r="L211" i="8"/>
  <c r="L204" i="8"/>
  <c r="J204" i="14"/>
  <c r="J206" i="14"/>
  <c r="J211" i="14"/>
  <c r="J207" i="14"/>
  <c r="J209" i="14"/>
  <c r="I215" i="14"/>
  <c r="J203" i="27"/>
  <c r="J205" i="27"/>
  <c r="J207" i="27"/>
  <c r="J209" i="27"/>
  <c r="J211" i="27"/>
  <c r="J206" i="27"/>
  <c r="J210" i="27"/>
  <c r="L207" i="7"/>
  <c r="J206" i="11"/>
  <c r="J209" i="11"/>
  <c r="J205" i="11"/>
  <c r="J211" i="11"/>
  <c r="I215" i="11"/>
  <c r="J207" i="11"/>
  <c r="J212" i="11"/>
  <c r="J205" i="14"/>
  <c r="I63" i="15"/>
  <c r="K191" i="15"/>
  <c r="M32" i="12"/>
  <c r="J205" i="20"/>
  <c r="J208" i="20"/>
  <c r="J204" i="20"/>
  <c r="J210" i="20"/>
  <c r="J206" i="20"/>
  <c r="J211" i="20"/>
  <c r="M119" i="21"/>
  <c r="M44" i="21"/>
  <c r="M31" i="26"/>
  <c r="M36" i="26"/>
  <c r="K175" i="26"/>
  <c r="K176" i="26"/>
  <c r="K191" i="10"/>
  <c r="L211" i="16"/>
  <c r="M162" i="18"/>
  <c r="C62" i="24"/>
  <c r="C75" i="24"/>
  <c r="M141" i="27"/>
  <c r="M43" i="27"/>
  <c r="M32" i="27"/>
  <c r="J204" i="18"/>
  <c r="J206" i="18"/>
  <c r="J208" i="18"/>
  <c r="J210" i="18"/>
  <c r="J204" i="19"/>
  <c r="J208" i="19"/>
  <c r="J212" i="19"/>
  <c r="J205" i="19"/>
  <c r="J209" i="19"/>
  <c r="J206" i="19"/>
  <c r="J210" i="19"/>
  <c r="J212" i="20"/>
  <c r="J213" i="20"/>
  <c r="J209" i="22"/>
  <c r="J205" i="22"/>
  <c r="J203" i="22"/>
  <c r="J207" i="22"/>
  <c r="J211" i="22"/>
  <c r="L204" i="25"/>
  <c r="L203" i="27"/>
  <c r="J211" i="23"/>
  <c r="J207" i="23"/>
  <c r="L210" i="25"/>
  <c r="L210" i="27"/>
  <c r="L208" i="27"/>
  <c r="L206" i="27"/>
  <c r="M44" i="28"/>
  <c r="M157" i="1"/>
  <c r="M101" i="2"/>
  <c r="M109" i="2"/>
  <c r="M160" i="2"/>
  <c r="K176" i="2"/>
  <c r="M160" i="5"/>
  <c r="M162" i="6"/>
  <c r="K178" i="8"/>
  <c r="M103" i="8"/>
  <c r="M111" i="8"/>
  <c r="M160" i="8"/>
  <c r="M162" i="8"/>
  <c r="M160" i="9"/>
  <c r="M162" i="9"/>
  <c r="M103" i="7"/>
  <c r="M164" i="4"/>
  <c r="M162" i="4"/>
  <c r="M35" i="1"/>
  <c r="K170" i="1"/>
  <c r="K171" i="1"/>
  <c r="G63" i="2"/>
  <c r="L205" i="3"/>
  <c r="L212" i="5"/>
  <c r="L207" i="5"/>
  <c r="L212" i="7"/>
  <c r="L209" i="7"/>
  <c r="M103" i="13"/>
  <c r="M111" i="13"/>
  <c r="M112" i="13"/>
  <c r="I63" i="13"/>
  <c r="J212" i="17"/>
  <c r="J210" i="17"/>
  <c r="J208" i="17"/>
  <c r="J206" i="17"/>
  <c r="L211" i="19"/>
  <c r="L207" i="19"/>
  <c r="M43" i="21"/>
  <c r="L211" i="27"/>
  <c r="J208" i="27"/>
  <c r="M32" i="28"/>
  <c r="M44" i="29"/>
  <c r="M141" i="29"/>
  <c r="M161" i="29"/>
  <c r="M159" i="29"/>
  <c r="K177" i="29"/>
  <c r="M163" i="29"/>
  <c r="M32" i="29"/>
  <c r="M43" i="29"/>
  <c r="M44" i="30"/>
  <c r="M58" i="30"/>
  <c r="M62" i="30"/>
  <c r="L203" i="30"/>
  <c r="L204" i="30"/>
  <c r="L205" i="30"/>
  <c r="L206" i="30"/>
  <c r="L207" i="30"/>
  <c r="L208" i="30"/>
  <c r="L209" i="30"/>
  <c r="M141" i="30"/>
  <c r="M43" i="30"/>
  <c r="M44" i="31"/>
  <c r="M58" i="31"/>
  <c r="M62" i="31"/>
  <c r="M141" i="31"/>
  <c r="M161" i="31"/>
  <c r="M163" i="31"/>
  <c r="M43" i="31"/>
  <c r="M44" i="32"/>
  <c r="L208" i="32"/>
  <c r="L209" i="32"/>
  <c r="L210" i="32"/>
  <c r="L211" i="32"/>
  <c r="M58" i="32"/>
  <c r="M62" i="32"/>
  <c r="M143" i="32"/>
  <c r="M43" i="32"/>
  <c r="M102" i="32"/>
  <c r="M165" i="32"/>
  <c r="K179" i="32"/>
  <c r="M163" i="32"/>
  <c r="M129" i="32"/>
  <c r="L205" i="32"/>
  <c r="L206" i="32"/>
  <c r="L207" i="32"/>
  <c r="M143" i="33"/>
  <c r="M44" i="33"/>
  <c r="L211" i="33"/>
  <c r="M163" i="33"/>
  <c r="M102" i="33"/>
  <c r="M110" i="33"/>
  <c r="M111" i="33"/>
  <c r="M161" i="33"/>
  <c r="K179" i="33"/>
  <c r="M165" i="33"/>
  <c r="L207" i="33"/>
  <c r="L205" i="33"/>
  <c r="L206" i="33"/>
  <c r="L208" i="33"/>
  <c r="L210" i="33"/>
  <c r="J207" i="33"/>
  <c r="J208" i="33"/>
  <c r="J209" i="33"/>
  <c r="J210" i="33"/>
  <c r="J211" i="33"/>
  <c r="M44" i="34"/>
  <c r="M143" i="34"/>
  <c r="K179" i="34"/>
  <c r="M161" i="34"/>
  <c r="M163" i="34"/>
  <c r="M102" i="34"/>
  <c r="M110" i="34"/>
  <c r="M111" i="34"/>
  <c r="M165" i="34"/>
  <c r="M43" i="34"/>
  <c r="M44" i="35"/>
  <c r="L210" i="35"/>
  <c r="L211" i="35"/>
  <c r="L205" i="35"/>
  <c r="L206" i="35"/>
  <c r="L207" i="35"/>
  <c r="L209" i="35"/>
  <c r="J211" i="35"/>
  <c r="J205" i="35"/>
  <c r="J206" i="35"/>
  <c r="J207" i="35"/>
  <c r="J208" i="35"/>
  <c r="J209" i="35"/>
  <c r="J210" i="35"/>
  <c r="M102" i="35"/>
  <c r="M110" i="35"/>
  <c r="M103" i="10"/>
  <c r="M111" i="10"/>
  <c r="M162" i="10"/>
  <c r="M159" i="30"/>
  <c r="M102" i="30"/>
  <c r="M110" i="30"/>
  <c r="M111" i="30"/>
  <c r="M163" i="30"/>
  <c r="M161" i="30"/>
  <c r="K177" i="30"/>
  <c r="J213" i="19"/>
  <c r="J213" i="18"/>
  <c r="J205" i="23"/>
  <c r="L209" i="27"/>
  <c r="M141" i="28"/>
  <c r="J209" i="32"/>
  <c r="M43" i="33"/>
  <c r="J204" i="2"/>
  <c r="C63" i="9"/>
  <c r="M59" i="10"/>
  <c r="C63" i="11"/>
  <c r="M160" i="13"/>
  <c r="M142" i="18"/>
  <c r="J204" i="28"/>
  <c r="J209" i="28"/>
  <c r="M31" i="32"/>
  <c r="M36" i="32"/>
  <c r="K177" i="32"/>
  <c r="K178" i="32"/>
  <c r="J205" i="32"/>
  <c r="J211" i="32"/>
  <c r="C76" i="20"/>
  <c r="M31" i="28"/>
  <c r="M36" i="28"/>
  <c r="K175" i="28"/>
  <c r="K176" i="28"/>
  <c r="J206" i="28"/>
  <c r="L209" i="28"/>
  <c r="J207" i="32"/>
  <c r="J212" i="32"/>
  <c r="M163" i="26"/>
  <c r="L203" i="28"/>
  <c r="C62" i="30"/>
  <c r="C75" i="30"/>
  <c r="C63" i="2"/>
  <c r="C76" i="2"/>
  <c r="M63" i="2"/>
  <c r="M119" i="6"/>
  <c r="M32" i="8"/>
  <c r="K215" i="14"/>
  <c r="C63" i="17"/>
  <c r="C63" i="18"/>
  <c r="J209" i="23"/>
  <c r="M32" i="24"/>
  <c r="J205" i="28"/>
  <c r="L207" i="28"/>
  <c r="J210" i="28"/>
  <c r="J205" i="31"/>
  <c r="J205" i="33"/>
  <c r="C62" i="34"/>
  <c r="M43" i="1"/>
  <c r="M58" i="1"/>
  <c r="C63" i="6"/>
  <c r="C76" i="6"/>
  <c r="L205" i="28"/>
  <c r="L211" i="28"/>
  <c r="M32" i="31"/>
  <c r="J212" i="33"/>
  <c r="M44" i="4"/>
  <c r="M119" i="4"/>
  <c r="M119" i="13"/>
  <c r="M44" i="13"/>
  <c r="J204" i="15"/>
  <c r="J210" i="15"/>
  <c r="J206" i="15"/>
  <c r="J205" i="15"/>
  <c r="J209" i="15"/>
  <c r="J211" i="15"/>
  <c r="G63" i="15"/>
  <c r="M59" i="15"/>
  <c r="M63" i="15"/>
  <c r="L211" i="20"/>
  <c r="L210" i="20"/>
  <c r="L212" i="20"/>
  <c r="L207" i="20"/>
  <c r="L209" i="20"/>
  <c r="M159" i="25"/>
  <c r="M161" i="25"/>
  <c r="M142" i="11"/>
  <c r="M58" i="33"/>
  <c r="G62" i="33"/>
  <c r="J205" i="34"/>
  <c r="J209" i="34"/>
  <c r="J212" i="34"/>
  <c r="J208" i="34"/>
  <c r="J211" i="34"/>
  <c r="J207" i="34"/>
  <c r="K173" i="1"/>
  <c r="K174" i="1"/>
  <c r="M63" i="5"/>
  <c r="L199" i="1"/>
  <c r="L204" i="1"/>
  <c r="M162" i="13"/>
  <c r="M42" i="1"/>
  <c r="M31" i="1"/>
  <c r="I215" i="7"/>
  <c r="J204" i="7"/>
  <c r="J208" i="7"/>
  <c r="J212" i="7"/>
  <c r="J205" i="7"/>
  <c r="J209" i="7"/>
  <c r="J206" i="7"/>
  <c r="J210" i="7"/>
  <c r="J208" i="11"/>
  <c r="J204" i="11"/>
  <c r="M32" i="19"/>
  <c r="M43" i="19"/>
  <c r="M161" i="23"/>
  <c r="M102" i="23"/>
  <c r="M110" i="23"/>
  <c r="M111" i="23"/>
  <c r="M58" i="24"/>
  <c r="G62" i="24"/>
  <c r="M142" i="14"/>
  <c r="J212" i="27"/>
  <c r="J213" i="14"/>
  <c r="L213" i="4"/>
  <c r="L206" i="5"/>
  <c r="M43" i="5"/>
  <c r="M32" i="5"/>
  <c r="M44" i="7"/>
  <c r="M119" i="7"/>
  <c r="L208" i="18"/>
  <c r="L207" i="18"/>
  <c r="L210" i="18"/>
  <c r="L206" i="18"/>
  <c r="M103" i="18"/>
  <c r="M111" i="18"/>
  <c r="M112" i="18"/>
  <c r="M160" i="18"/>
  <c r="K178" i="18"/>
  <c r="M160" i="20"/>
  <c r="M103" i="20"/>
  <c r="M111" i="20"/>
  <c r="M112" i="20"/>
  <c r="L203" i="23"/>
  <c r="L208" i="23"/>
  <c r="L204" i="23"/>
  <c r="L210" i="23"/>
  <c r="L206" i="23"/>
  <c r="K181" i="1"/>
  <c r="M141" i="22"/>
  <c r="M58" i="27"/>
  <c r="M62" i="27"/>
  <c r="G62" i="27"/>
  <c r="J206" i="34"/>
  <c r="J213" i="35"/>
  <c r="L201" i="1"/>
  <c r="L205" i="1"/>
  <c r="L200" i="1"/>
  <c r="L207" i="1"/>
  <c r="L203" i="1"/>
  <c r="I63" i="9"/>
  <c r="K191" i="9"/>
  <c r="L206" i="10"/>
  <c r="L208" i="10"/>
  <c r="L207" i="13"/>
  <c r="L205" i="13"/>
  <c r="L210" i="13"/>
  <c r="K215" i="13"/>
  <c r="L206" i="13"/>
  <c r="C76" i="17"/>
  <c r="J207" i="26"/>
  <c r="J204" i="26"/>
  <c r="J203" i="26"/>
  <c r="J208" i="26"/>
  <c r="J211" i="26"/>
  <c r="J212" i="26"/>
  <c r="J210" i="31"/>
  <c r="J203" i="31"/>
  <c r="J207" i="31"/>
  <c r="J204" i="31"/>
  <c r="J206" i="31"/>
  <c r="J209" i="31"/>
  <c r="J210" i="34"/>
  <c r="J212" i="25"/>
  <c r="L205" i="7"/>
  <c r="L213" i="7"/>
  <c r="C63" i="7"/>
  <c r="C76" i="7"/>
  <c r="M111" i="7"/>
  <c r="K191" i="5"/>
  <c r="M160" i="7"/>
  <c r="M59" i="9"/>
  <c r="M63" i="9"/>
  <c r="M103" i="12"/>
  <c r="M111" i="12"/>
  <c r="L212" i="14"/>
  <c r="M59" i="14"/>
  <c r="M63" i="14"/>
  <c r="M44" i="15"/>
  <c r="C63" i="19"/>
  <c r="C76" i="19"/>
  <c r="J210" i="23"/>
  <c r="J204" i="23"/>
  <c r="C62" i="26"/>
  <c r="C75" i="26"/>
  <c r="L207" i="27"/>
  <c r="J203" i="28"/>
  <c r="J212" i="28"/>
  <c r="J204" i="30"/>
  <c r="M62" i="34"/>
  <c r="C62" i="35"/>
  <c r="C75" i="35"/>
  <c r="M142" i="8"/>
  <c r="M63" i="10"/>
  <c r="C62" i="27"/>
  <c r="M62" i="29"/>
  <c r="C62" i="32"/>
  <c r="C75" i="32"/>
  <c r="M32" i="33"/>
  <c r="M63" i="6"/>
  <c r="K210" i="1"/>
  <c r="C63" i="13"/>
  <c r="C76" i="13"/>
  <c r="M59" i="13"/>
  <c r="M63" i="13"/>
  <c r="M62" i="22"/>
  <c r="J208" i="23"/>
  <c r="M31" i="25"/>
  <c r="M36" i="25"/>
  <c r="K175" i="25"/>
  <c r="K176" i="25"/>
  <c r="L204" i="27"/>
  <c r="M85" i="28"/>
  <c r="M87" i="28"/>
  <c r="J206" i="32"/>
  <c r="J213" i="32"/>
  <c r="L205" i="34"/>
  <c r="L209" i="16"/>
  <c r="L207" i="16"/>
  <c r="J213" i="33"/>
  <c r="M111" i="31"/>
  <c r="M159" i="31"/>
  <c r="M118" i="25"/>
  <c r="M164" i="7"/>
  <c r="L210" i="16"/>
  <c r="L212" i="16"/>
  <c r="M142" i="12"/>
  <c r="M142" i="15"/>
  <c r="J208" i="13"/>
  <c r="J212" i="13"/>
  <c r="J199" i="1"/>
  <c r="J207" i="1"/>
  <c r="I213" i="3"/>
  <c r="J204" i="3"/>
  <c r="J208" i="3"/>
  <c r="J205" i="3"/>
  <c r="J209" i="3"/>
  <c r="I215" i="6"/>
  <c r="J208" i="6"/>
  <c r="J212" i="6"/>
  <c r="J205" i="6"/>
  <c r="J209" i="6"/>
  <c r="J206" i="6"/>
  <c r="J210" i="6"/>
  <c r="J209" i="10"/>
  <c r="I215" i="10"/>
  <c r="J207" i="10"/>
  <c r="J211" i="10"/>
  <c r="M118" i="23"/>
  <c r="M44" i="23"/>
  <c r="M58" i="25"/>
  <c r="M62" i="25"/>
  <c r="L211" i="29"/>
  <c r="L204" i="29"/>
  <c r="L210" i="29"/>
  <c r="L208" i="29"/>
  <c r="L208" i="31"/>
  <c r="L206" i="31"/>
  <c r="L204" i="31"/>
  <c r="L210" i="31"/>
  <c r="K179" i="35"/>
  <c r="L212" i="25"/>
  <c r="M43" i="7"/>
  <c r="J213" i="21"/>
  <c r="M43" i="17"/>
  <c r="M43" i="13"/>
  <c r="L213" i="12"/>
  <c r="L213" i="11"/>
  <c r="J209" i="13"/>
  <c r="I215" i="13"/>
  <c r="L204" i="3"/>
  <c r="L207" i="3"/>
  <c r="J213" i="4"/>
  <c r="L204" i="5"/>
  <c r="L205" i="5"/>
  <c r="L208" i="5"/>
  <c r="M43" i="15"/>
  <c r="M32" i="15"/>
  <c r="G63" i="17"/>
  <c r="L206" i="19"/>
  <c r="L205" i="19"/>
  <c r="L209" i="19"/>
  <c r="M142" i="17"/>
  <c r="G62" i="28"/>
  <c r="M58" i="28"/>
  <c r="M62" i="28"/>
  <c r="M43" i="6"/>
  <c r="M32" i="6"/>
  <c r="K177" i="31"/>
  <c r="L205" i="16"/>
  <c r="L212" i="26"/>
  <c r="L204" i="16"/>
  <c r="J202" i="1"/>
  <c r="L212" i="24"/>
  <c r="L212" i="22"/>
  <c r="M141" i="24"/>
  <c r="L213" i="15"/>
  <c r="J206" i="13"/>
  <c r="J210" i="13"/>
  <c r="J204" i="1"/>
  <c r="I153" i="1"/>
  <c r="J211" i="6"/>
  <c r="M44" i="14"/>
  <c r="M119" i="14"/>
  <c r="L206" i="29"/>
  <c r="L207" i="31"/>
  <c r="C63" i="5"/>
  <c r="C76" i="5"/>
  <c r="C63" i="8"/>
  <c r="C76" i="8"/>
  <c r="C76" i="9"/>
  <c r="M63" i="17"/>
  <c r="C76" i="18"/>
  <c r="M63" i="18"/>
  <c r="C62" i="25"/>
  <c r="C75" i="25"/>
  <c r="M62" i="26"/>
  <c r="C75" i="27"/>
  <c r="C62" i="28"/>
  <c r="C75" i="28"/>
  <c r="C62" i="29"/>
  <c r="C75" i="29"/>
  <c r="C62" i="31"/>
  <c r="C75" i="31"/>
  <c r="C62" i="33"/>
  <c r="C75" i="33"/>
  <c r="M62" i="33"/>
  <c r="M32" i="34"/>
  <c r="M142" i="4"/>
  <c r="M142" i="7"/>
  <c r="C76" i="11"/>
  <c r="M59" i="12"/>
  <c r="M63" i="12"/>
  <c r="L209" i="13"/>
  <c r="L213" i="13"/>
  <c r="K191" i="14"/>
  <c r="M86" i="14"/>
  <c r="M88" i="14"/>
  <c r="J211" i="17"/>
  <c r="M63" i="20"/>
  <c r="M164" i="20"/>
  <c r="C76" i="21"/>
  <c r="C62" i="23"/>
  <c r="C75" i="23"/>
  <c r="M62" i="24"/>
  <c r="G62" i="26"/>
  <c r="M32" i="26"/>
  <c r="M102" i="29"/>
  <c r="M110" i="29"/>
  <c r="M32" i="35"/>
  <c r="C75" i="36"/>
  <c r="C63" i="10"/>
  <c r="C76" i="10"/>
  <c r="C63" i="12"/>
  <c r="C76" i="12"/>
  <c r="C63" i="14"/>
  <c r="C76" i="14"/>
  <c r="J212" i="15"/>
  <c r="M86" i="15"/>
  <c r="M88" i="15"/>
  <c r="C63" i="16"/>
  <c r="C76" i="16"/>
  <c r="J209" i="17"/>
  <c r="C62" i="22"/>
  <c r="C75" i="22"/>
  <c r="J206" i="23"/>
  <c r="J212" i="23"/>
  <c r="M85" i="27"/>
  <c r="M87" i="27"/>
  <c r="M161" i="27"/>
  <c r="L209" i="33"/>
  <c r="L213" i="33"/>
  <c r="C75" i="34"/>
  <c r="M31" i="35"/>
  <c r="M36" i="35"/>
  <c r="K177" i="35"/>
  <c r="K178" i="35"/>
  <c r="L213" i="32"/>
  <c r="L211" i="30"/>
  <c r="J205" i="12"/>
  <c r="J208" i="12"/>
  <c r="J211" i="12"/>
  <c r="J209" i="12"/>
  <c r="J207" i="12"/>
  <c r="J212" i="12"/>
  <c r="J206" i="12"/>
  <c r="J210" i="12"/>
  <c r="M163" i="24"/>
  <c r="M117" i="2"/>
  <c r="M44" i="2"/>
  <c r="J203" i="2"/>
  <c r="J210" i="2"/>
  <c r="J208" i="2"/>
  <c r="J209" i="2"/>
  <c r="L208" i="6"/>
  <c r="L212" i="6"/>
  <c r="L206" i="6"/>
  <c r="K215" i="6"/>
  <c r="L205" i="6"/>
  <c r="L207" i="6"/>
  <c r="I63" i="6"/>
  <c r="K191" i="6"/>
  <c r="M100" i="1"/>
  <c r="M108" i="1"/>
  <c r="M109" i="1"/>
  <c r="K175" i="1"/>
  <c r="M103" i="6"/>
  <c r="M111" i="6"/>
  <c r="M112" i="6"/>
  <c r="M160" i="6"/>
  <c r="K178" i="6"/>
  <c r="L204" i="9"/>
  <c r="L212" i="9"/>
  <c r="K215" i="9"/>
  <c r="L206" i="9"/>
  <c r="L210" i="9"/>
  <c r="L209" i="9"/>
  <c r="L207" i="9"/>
  <c r="K178" i="10"/>
  <c r="M112" i="10"/>
  <c r="M164" i="10"/>
  <c r="M160" i="10"/>
  <c r="M59" i="16"/>
  <c r="M63" i="16"/>
  <c r="G63" i="16"/>
  <c r="L213" i="17"/>
  <c r="M162" i="17"/>
  <c r="M111" i="17"/>
  <c r="M112" i="17"/>
  <c r="M112" i="19"/>
  <c r="M44" i="20"/>
  <c r="M119" i="20"/>
  <c r="L204" i="21"/>
  <c r="L211" i="21"/>
  <c r="L207" i="21"/>
  <c r="L210" i="21"/>
  <c r="L206" i="21"/>
  <c r="K178" i="21"/>
  <c r="M164" i="21"/>
  <c r="M162" i="21"/>
  <c r="M112" i="21"/>
  <c r="M32" i="25"/>
  <c r="M43" i="25"/>
  <c r="M43" i="11"/>
  <c r="M32" i="11"/>
  <c r="J207" i="2"/>
  <c r="M161" i="1"/>
  <c r="L205" i="9"/>
  <c r="L210" i="6"/>
  <c r="M73" i="1"/>
  <c r="J213" i="11"/>
  <c r="M43" i="3"/>
  <c r="M62" i="1"/>
  <c r="M110" i="2"/>
  <c r="M158" i="2"/>
  <c r="M162" i="2"/>
  <c r="K178" i="4"/>
  <c r="M160" i="4"/>
  <c r="M103" i="4"/>
  <c r="M111" i="4"/>
  <c r="M112" i="4"/>
  <c r="M103" i="11"/>
  <c r="M111" i="11"/>
  <c r="M112" i="11"/>
  <c r="M160" i="11"/>
  <c r="M162" i="11"/>
  <c r="M44" i="12"/>
  <c r="M119" i="12"/>
  <c r="K178" i="14"/>
  <c r="M160" i="14"/>
  <c r="M164" i="15"/>
  <c r="K178" i="15"/>
  <c r="M162" i="15"/>
  <c r="M110" i="32"/>
  <c r="M111" i="32"/>
  <c r="M164" i="5"/>
  <c r="M162" i="5"/>
  <c r="I215" i="9"/>
  <c r="J206" i="9"/>
  <c r="J211" i="9"/>
  <c r="J205" i="9"/>
  <c r="J207" i="9"/>
  <c r="J212" i="9"/>
  <c r="J204" i="9"/>
  <c r="J209" i="9"/>
  <c r="L211" i="10"/>
  <c r="K215" i="10"/>
  <c r="L212" i="10"/>
  <c r="L210" i="10"/>
  <c r="L207" i="10"/>
  <c r="L204" i="10"/>
  <c r="L205" i="10"/>
  <c r="M159" i="24"/>
  <c r="K177" i="24"/>
  <c r="M102" i="24"/>
  <c r="M110" i="24"/>
  <c r="M111" i="24"/>
  <c r="M163" i="35"/>
  <c r="M103" i="5"/>
  <c r="M111" i="5"/>
  <c r="M112" i="5"/>
  <c r="J212" i="22"/>
  <c r="M111" i="35"/>
  <c r="M165" i="35"/>
  <c r="M164" i="6"/>
  <c r="M159" i="1"/>
  <c r="L211" i="9"/>
  <c r="L204" i="6"/>
  <c r="K178" i="19"/>
  <c r="I215" i="12"/>
  <c r="L209" i="10"/>
  <c r="M164" i="11"/>
  <c r="L208" i="1"/>
  <c r="L208" i="21"/>
  <c r="J213" i="16"/>
  <c r="J205" i="2"/>
  <c r="J210" i="9"/>
  <c r="K211" i="2"/>
  <c r="L209" i="2"/>
  <c r="M44" i="3"/>
  <c r="M117" i="3"/>
  <c r="J213" i="5"/>
  <c r="M162" i="7"/>
  <c r="M112" i="7"/>
  <c r="K178" i="7"/>
  <c r="M160" i="3"/>
  <c r="M162" i="3"/>
  <c r="M101" i="3"/>
  <c r="M109" i="3"/>
  <c r="M110" i="3"/>
  <c r="M158" i="3"/>
  <c r="L208" i="8"/>
  <c r="K215" i="8"/>
  <c r="L209" i="8"/>
  <c r="L212" i="8"/>
  <c r="L205" i="8"/>
  <c r="L207" i="8"/>
  <c r="M112" i="8"/>
  <c r="J211" i="8"/>
  <c r="J206" i="8"/>
  <c r="I215" i="8"/>
  <c r="J205" i="8"/>
  <c r="J212" i="8"/>
  <c r="J204" i="8"/>
  <c r="J207" i="8"/>
  <c r="M103" i="9"/>
  <c r="M111" i="9"/>
  <c r="M112" i="9"/>
  <c r="M164" i="9"/>
  <c r="K178" i="9"/>
  <c r="M162" i="12"/>
  <c r="M112" i="12"/>
  <c r="M160" i="12"/>
  <c r="K178" i="12"/>
  <c r="M164" i="12"/>
  <c r="L213" i="14"/>
  <c r="M163" i="23"/>
  <c r="M159" i="23"/>
  <c r="K177" i="23"/>
  <c r="J203" i="24"/>
  <c r="J209" i="24"/>
  <c r="J205" i="24"/>
  <c r="J208" i="24"/>
  <c r="J204" i="24"/>
  <c r="I154" i="3"/>
  <c r="L203" i="3"/>
  <c r="L211" i="3"/>
  <c r="J205" i="10"/>
  <c r="L212" i="18"/>
  <c r="L204" i="18"/>
  <c r="L211" i="18"/>
  <c r="M44" i="19"/>
  <c r="M119" i="19"/>
  <c r="M142" i="19"/>
  <c r="M43" i="18"/>
  <c r="M32" i="18"/>
  <c r="G63" i="19"/>
  <c r="M59" i="19"/>
  <c r="M63" i="19"/>
  <c r="M62" i="23"/>
  <c r="M44" i="26"/>
  <c r="M118" i="26"/>
  <c r="M142" i="16"/>
  <c r="J203" i="29"/>
  <c r="J210" i="29"/>
  <c r="J208" i="29"/>
  <c r="J206" i="29"/>
  <c r="J204" i="29"/>
  <c r="J211" i="29"/>
  <c r="J209" i="29"/>
  <c r="J207" i="29"/>
  <c r="J205" i="29"/>
  <c r="L206" i="16"/>
  <c r="M43" i="28"/>
  <c r="M111" i="29"/>
  <c r="J208" i="30"/>
  <c r="M31" i="31"/>
  <c r="M36" i="31"/>
  <c r="K175" i="31"/>
  <c r="K176" i="31"/>
  <c r="J207" i="17"/>
  <c r="J213" i="17"/>
  <c r="M32" i="30"/>
  <c r="M31" i="33"/>
  <c r="M36" i="33"/>
  <c r="K177" i="33"/>
  <c r="K178" i="33"/>
  <c r="M31" i="34"/>
  <c r="M36" i="34"/>
  <c r="K177" i="34"/>
  <c r="K178" i="34"/>
  <c r="J208" i="15"/>
  <c r="J213" i="15"/>
  <c r="M31" i="30"/>
  <c r="M36" i="30"/>
  <c r="K175" i="30"/>
  <c r="K176" i="30"/>
  <c r="J207" i="30"/>
  <c r="J210" i="30"/>
  <c r="J206" i="30"/>
  <c r="J209" i="30"/>
  <c r="J205" i="30"/>
  <c r="M43" i="35"/>
  <c r="L208" i="35"/>
  <c r="L213" i="35"/>
  <c r="L207" i="34"/>
  <c r="L209" i="34"/>
  <c r="L211" i="34"/>
  <c r="L204" i="28"/>
  <c r="L206" i="28"/>
  <c r="L208" i="28"/>
  <c r="L203" i="29"/>
  <c r="L205" i="29"/>
  <c r="L207" i="29"/>
  <c r="L209" i="29"/>
  <c r="M32" i="36"/>
  <c r="M62" i="36"/>
  <c r="L206" i="34"/>
  <c r="L208" i="34"/>
  <c r="L210" i="34"/>
  <c r="M31" i="36"/>
  <c r="L207" i="36"/>
  <c r="L205" i="36"/>
  <c r="L206" i="36"/>
  <c r="J205" i="36"/>
  <c r="J209" i="36"/>
  <c r="J211" i="36"/>
  <c r="J206" i="36"/>
  <c r="J207" i="36"/>
  <c r="J208" i="36"/>
  <c r="J210" i="36"/>
  <c r="M43" i="36"/>
  <c r="K179" i="36"/>
  <c r="M163" i="36"/>
  <c r="M102" i="36"/>
  <c r="M165" i="36"/>
  <c r="M161" i="36"/>
  <c r="M143" i="36"/>
  <c r="M44" i="36"/>
  <c r="L208" i="36"/>
  <c r="L209" i="36"/>
  <c r="L210" i="36"/>
  <c r="L211" i="36"/>
  <c r="L213" i="20"/>
  <c r="L212" i="23"/>
  <c r="L213" i="5"/>
  <c r="L212" i="27"/>
  <c r="J213" i="34"/>
  <c r="L212" i="28"/>
  <c r="J208" i="1"/>
  <c r="J213" i="7"/>
  <c r="L211" i="31"/>
  <c r="M102" i="28"/>
  <c r="M110" i="28"/>
  <c r="M111" i="28"/>
  <c r="K177" i="28"/>
  <c r="M159" i="28"/>
  <c r="M163" i="28"/>
  <c r="M161" i="28"/>
  <c r="L213" i="19"/>
  <c r="J211" i="31"/>
  <c r="L213" i="16"/>
  <c r="L213" i="8"/>
  <c r="M160" i="15"/>
  <c r="M103" i="15"/>
  <c r="M111" i="15"/>
  <c r="M112" i="15"/>
  <c r="J213" i="13"/>
  <c r="J211" i="3"/>
  <c r="M163" i="27"/>
  <c r="K177" i="27"/>
  <c r="J211" i="30"/>
  <c r="M159" i="27"/>
  <c r="J213" i="12"/>
  <c r="M164" i="14"/>
  <c r="M103" i="14"/>
  <c r="M111" i="14"/>
  <c r="M112" i="14"/>
  <c r="M162" i="14"/>
  <c r="J213" i="6"/>
  <c r="L212" i="29"/>
  <c r="J213" i="10"/>
  <c r="M102" i="27"/>
  <c r="M110" i="27"/>
  <c r="M111" i="27"/>
  <c r="J211" i="2"/>
  <c r="L213" i="6"/>
  <c r="J213" i="9"/>
  <c r="J212" i="29"/>
  <c r="L213" i="18"/>
  <c r="L213" i="10"/>
  <c r="M75" i="1"/>
  <c r="M145" i="1"/>
  <c r="M144" i="1"/>
  <c r="L213" i="34"/>
  <c r="M153" i="4"/>
  <c r="J213" i="8"/>
  <c r="L204" i="2"/>
  <c r="L207" i="2"/>
  <c r="L202" i="2"/>
  <c r="L203" i="2"/>
  <c r="K213" i="2"/>
  <c r="L210" i="2"/>
  <c r="L205" i="2"/>
  <c r="L206" i="2"/>
  <c r="L208" i="2"/>
  <c r="M74" i="2"/>
  <c r="L213" i="21"/>
  <c r="L213" i="9"/>
  <c r="M110" i="36"/>
  <c r="M111" i="36"/>
  <c r="M36" i="36"/>
  <c r="K177" i="36"/>
  <c r="K178" i="36"/>
  <c r="J212" i="24"/>
  <c r="L213" i="36"/>
  <c r="J213" i="36"/>
  <c r="M74" i="3"/>
  <c r="L211" i="2"/>
  <c r="M76" i="2"/>
  <c r="M146" i="2"/>
  <c r="M145" i="2"/>
  <c r="M155" i="4"/>
  <c r="I156" i="4"/>
  <c r="M153" i="5"/>
  <c r="M145" i="3"/>
  <c r="M76" i="3"/>
  <c r="M146" i="3"/>
  <c r="M74" i="4"/>
  <c r="M147" i="4"/>
  <c r="M76" i="4"/>
  <c r="M148" i="4"/>
  <c r="I156" i="5"/>
  <c r="M155" i="5"/>
  <c r="K154" i="40"/>
  <c r="M74" i="5"/>
  <c r="M74" i="6"/>
  <c r="K156" i="40"/>
  <c r="M147" i="5"/>
  <c r="M76" i="5"/>
  <c r="M148" i="5"/>
  <c r="M153" i="6"/>
  <c r="K154" i="44"/>
  <c r="M155" i="6"/>
  <c r="I156" i="6"/>
  <c r="M76" i="6"/>
  <c r="M148" i="6"/>
  <c r="M147" i="6"/>
  <c r="M74" i="7"/>
  <c r="K156" i="44"/>
  <c r="M74" i="8"/>
  <c r="M153" i="7"/>
  <c r="M147" i="7"/>
  <c r="M76" i="7"/>
  <c r="M148" i="7"/>
  <c r="I156" i="7"/>
  <c r="M155" i="7"/>
  <c r="M147" i="8"/>
  <c r="M76" i="8"/>
  <c r="M148" i="8"/>
  <c r="M74" i="9"/>
  <c r="M74" i="10"/>
  <c r="M147" i="9"/>
  <c r="M76" i="9"/>
  <c r="M148" i="9"/>
  <c r="M153" i="8"/>
  <c r="M155" i="8"/>
  <c r="I156" i="8"/>
  <c r="M76" i="10"/>
  <c r="M148" i="10"/>
  <c r="M147" i="10"/>
  <c r="M74" i="11"/>
  <c r="M74" i="12"/>
  <c r="M147" i="11"/>
  <c r="M76" i="11"/>
  <c r="M148" i="11"/>
  <c r="M153" i="9"/>
  <c r="M155" i="9"/>
  <c r="I156" i="9"/>
  <c r="M147" i="12"/>
  <c r="M76" i="12"/>
  <c r="M148" i="12"/>
  <c r="M74" i="13"/>
  <c r="M76" i="13"/>
  <c r="M148" i="13"/>
  <c r="M147" i="13"/>
  <c r="M74" i="14"/>
  <c r="M153" i="10"/>
  <c r="K79" i="43"/>
  <c r="K85" i="43"/>
  <c r="K87" i="43"/>
  <c r="K111" i="43"/>
  <c r="M73" i="43"/>
  <c r="K79" i="47"/>
  <c r="K85" i="47"/>
  <c r="K87" i="47"/>
  <c r="K111" i="47"/>
  <c r="K79" i="46"/>
  <c r="K85" i="46"/>
  <c r="K87" i="46"/>
  <c r="K111" i="46"/>
  <c r="K79" i="45"/>
  <c r="K85" i="45"/>
  <c r="K87" i="45"/>
  <c r="K111" i="45"/>
  <c r="K79" i="44"/>
  <c r="K85" i="44"/>
  <c r="K87" i="44"/>
  <c r="K111" i="44"/>
  <c r="M73" i="44"/>
  <c r="M148" i="43"/>
  <c r="M75" i="43"/>
  <c r="M149" i="43"/>
  <c r="K79" i="41"/>
  <c r="K85" i="41"/>
  <c r="K87" i="41"/>
  <c r="K79" i="42"/>
  <c r="K85" i="42"/>
  <c r="K87" i="42"/>
  <c r="M147" i="14"/>
  <c r="M76" i="14"/>
  <c r="M148" i="14"/>
  <c r="K79" i="40"/>
  <c r="K85" i="40"/>
  <c r="K87" i="40"/>
  <c r="K111" i="40"/>
  <c r="M73" i="40"/>
  <c r="K79" i="39"/>
  <c r="K85" i="39"/>
  <c r="K87" i="39"/>
  <c r="K111" i="39"/>
  <c r="M73" i="39"/>
  <c r="K79" i="38"/>
  <c r="K85" i="38"/>
  <c r="K87" i="38"/>
  <c r="K111" i="38"/>
  <c r="M73" i="38"/>
  <c r="K79" i="37"/>
  <c r="K85" i="37"/>
  <c r="K87" i="37"/>
  <c r="K111" i="37"/>
  <c r="M73" i="37"/>
  <c r="K79" i="36"/>
  <c r="K85" i="36"/>
  <c r="K87" i="36"/>
  <c r="K111" i="36"/>
  <c r="M73" i="36"/>
  <c r="K79" i="35"/>
  <c r="K85" i="35"/>
  <c r="K87" i="35"/>
  <c r="K111" i="35"/>
  <c r="M73" i="35"/>
  <c r="K79" i="28"/>
  <c r="K85" i="28"/>
  <c r="K87" i="28"/>
  <c r="K111" i="28"/>
  <c r="M73" i="28"/>
  <c r="K79" i="34"/>
  <c r="K85" i="34"/>
  <c r="K87" i="34"/>
  <c r="K111" i="34"/>
  <c r="M73" i="34"/>
  <c r="K79" i="30"/>
  <c r="K85" i="30"/>
  <c r="K87" i="30"/>
  <c r="K111" i="30"/>
  <c r="M73" i="30"/>
  <c r="K79" i="29"/>
  <c r="K85" i="29"/>
  <c r="K87" i="29"/>
  <c r="K111" i="29"/>
  <c r="M73" i="29"/>
  <c r="K79" i="33"/>
  <c r="K85" i="33"/>
  <c r="K87" i="33"/>
  <c r="K111" i="33"/>
  <c r="M73" i="33"/>
  <c r="K79" i="31"/>
  <c r="K85" i="31"/>
  <c r="K87" i="31"/>
  <c r="K111" i="31"/>
  <c r="M73" i="31"/>
  <c r="K80" i="21"/>
  <c r="K86" i="21"/>
  <c r="K88" i="21"/>
  <c r="K112" i="21"/>
  <c r="M74" i="21"/>
  <c r="K80" i="20"/>
  <c r="K86" i="20"/>
  <c r="K88" i="20"/>
  <c r="K112" i="20"/>
  <c r="M74" i="20"/>
  <c r="K79" i="24"/>
  <c r="K85" i="24"/>
  <c r="K87" i="24"/>
  <c r="K111" i="24"/>
  <c r="M73" i="24"/>
  <c r="K79" i="23"/>
  <c r="K85" i="23"/>
  <c r="K87" i="23"/>
  <c r="K111" i="23"/>
  <c r="M73" i="23"/>
  <c r="K79" i="32"/>
  <c r="K85" i="32"/>
  <c r="K87" i="32"/>
  <c r="K111" i="32"/>
  <c r="M73" i="32"/>
  <c r="K80" i="18"/>
  <c r="K86" i="18"/>
  <c r="K88" i="18"/>
  <c r="K112" i="18"/>
  <c r="M74" i="18"/>
  <c r="K79" i="27"/>
  <c r="K85" i="27"/>
  <c r="K87" i="27"/>
  <c r="K111" i="27"/>
  <c r="M73" i="27"/>
  <c r="K79" i="22"/>
  <c r="K85" i="22"/>
  <c r="K87" i="22"/>
  <c r="K111" i="22"/>
  <c r="M73" i="22"/>
  <c r="K80" i="16"/>
  <c r="K86" i="16"/>
  <c r="K88" i="16"/>
  <c r="K112" i="16"/>
  <c r="M74" i="16"/>
  <c r="K80" i="17"/>
  <c r="K86" i="17"/>
  <c r="K88" i="17"/>
  <c r="K112" i="17"/>
  <c r="M74" i="17"/>
  <c r="K79" i="25"/>
  <c r="K85" i="25"/>
  <c r="K87" i="25"/>
  <c r="K111" i="25"/>
  <c r="M73" i="25"/>
  <c r="M74" i="15"/>
  <c r="K79" i="26"/>
  <c r="K85" i="26"/>
  <c r="K87" i="26"/>
  <c r="K111" i="26"/>
  <c r="M73" i="26"/>
  <c r="K80" i="19"/>
  <c r="K86" i="19"/>
  <c r="K88" i="19"/>
  <c r="K112" i="19"/>
  <c r="M74" i="19"/>
  <c r="I156" i="10"/>
  <c r="M155" i="10"/>
  <c r="M75" i="44"/>
  <c r="M149" i="44"/>
  <c r="M148" i="44"/>
  <c r="K111" i="42"/>
  <c r="M73" i="42"/>
  <c r="K111" i="41"/>
  <c r="M73" i="41"/>
  <c r="M147" i="19"/>
  <c r="M76" i="19"/>
  <c r="M148" i="19"/>
  <c r="M76" i="17"/>
  <c r="M148" i="17"/>
  <c r="M147" i="17"/>
  <c r="M147" i="18"/>
  <c r="M76" i="18"/>
  <c r="M148" i="18"/>
  <c r="M147" i="20"/>
  <c r="M76" i="20"/>
  <c r="M148" i="20"/>
  <c r="M75" i="29"/>
  <c r="M147" i="29"/>
  <c r="M146" i="29"/>
  <c r="M75" i="35"/>
  <c r="M149" i="35"/>
  <c r="M148" i="35"/>
  <c r="M148" i="39"/>
  <c r="M75" i="39"/>
  <c r="M149" i="39"/>
  <c r="M76" i="16"/>
  <c r="M148" i="16"/>
  <c r="M147" i="16"/>
  <c r="M148" i="32"/>
  <c r="M75" i="32"/>
  <c r="M149" i="32"/>
  <c r="M76" i="21"/>
  <c r="M148" i="21"/>
  <c r="M147" i="21"/>
  <c r="M75" i="30"/>
  <c r="M147" i="30"/>
  <c r="M146" i="30"/>
  <c r="M148" i="36"/>
  <c r="M75" i="36"/>
  <c r="M149" i="36"/>
  <c r="M75" i="40"/>
  <c r="M149" i="40"/>
  <c r="M148" i="40"/>
  <c r="M146" i="26"/>
  <c r="M75" i="26"/>
  <c r="M147" i="26"/>
  <c r="M153" i="11"/>
  <c r="M76" i="15"/>
  <c r="M148" i="15"/>
  <c r="M147" i="15"/>
  <c r="M146" i="22"/>
  <c r="M75" i="22"/>
  <c r="M147" i="22"/>
  <c r="M75" i="23"/>
  <c r="M147" i="23"/>
  <c r="M146" i="23"/>
  <c r="M75" i="31"/>
  <c r="M147" i="31"/>
  <c r="M146" i="31"/>
  <c r="M148" i="34"/>
  <c r="M75" i="34"/>
  <c r="M149" i="34"/>
  <c r="M75" i="37"/>
  <c r="M149" i="37"/>
  <c r="M148" i="37"/>
  <c r="M146" i="25"/>
  <c r="M75" i="25"/>
  <c r="M147" i="25"/>
  <c r="M146" i="27"/>
  <c r="M75" i="27"/>
  <c r="M147" i="27"/>
  <c r="M75" i="24"/>
  <c r="M147" i="24"/>
  <c r="M146" i="24"/>
  <c r="M148" i="33"/>
  <c r="M75" i="33"/>
  <c r="M149" i="33"/>
  <c r="M75" i="28"/>
  <c r="M147" i="28"/>
  <c r="M146" i="28"/>
  <c r="M75" i="38"/>
  <c r="M149" i="38"/>
  <c r="M148" i="38"/>
  <c r="M148" i="42"/>
  <c r="M75" i="42"/>
  <c r="M149" i="42"/>
  <c r="M148" i="41"/>
  <c r="M75" i="41"/>
  <c r="M149" i="41"/>
  <c r="M155" i="11"/>
  <c r="I156" i="11"/>
  <c r="M153" i="12"/>
  <c r="I156" i="12"/>
  <c r="M155" i="12"/>
  <c r="M153" i="13"/>
  <c r="I156" i="13"/>
  <c r="M155" i="13"/>
  <c r="M153" i="14"/>
  <c r="M155" i="14"/>
  <c r="I156" i="14"/>
  <c r="M153" i="15"/>
  <c r="M155" i="15"/>
  <c r="I156" i="15"/>
  <c r="M153" i="16"/>
  <c r="I156" i="16"/>
  <c r="M155" i="16"/>
  <c r="M153" i="17"/>
  <c r="I156" i="17"/>
  <c r="M155" i="17"/>
  <c r="M153" i="18"/>
  <c r="I156" i="18"/>
  <c r="M155" i="18"/>
  <c r="M153" i="19"/>
  <c r="M155" i="19"/>
  <c r="I156" i="19"/>
  <c r="M153" i="20"/>
  <c r="M155" i="20"/>
  <c r="I156" i="20"/>
  <c r="M153" i="21"/>
  <c r="M155" i="21"/>
  <c r="I156" i="21"/>
  <c r="M152" i="22"/>
  <c r="I155" i="22"/>
  <c r="M154" i="22"/>
  <c r="M152" i="23"/>
  <c r="M154" i="23"/>
  <c r="I155" i="23"/>
  <c r="M152" i="24"/>
  <c r="M154" i="24"/>
  <c r="I155" i="24"/>
  <c r="M152" i="25"/>
  <c r="M154" i="25"/>
  <c r="I155" i="25"/>
  <c r="M152" i="26"/>
  <c r="M154" i="26"/>
  <c r="I155" i="26"/>
  <c r="M152" i="27"/>
  <c r="M154" i="27"/>
  <c r="I155" i="27"/>
  <c r="M152" i="28"/>
  <c r="I155" i="28"/>
  <c r="M154" i="28"/>
  <c r="M152" i="29"/>
  <c r="I155" i="29"/>
  <c r="M154" i="29"/>
  <c r="M152" i="30"/>
  <c r="I155" i="30"/>
  <c r="M154" i="30"/>
  <c r="M152" i="31"/>
  <c r="I155" i="31"/>
  <c r="M154" i="31"/>
  <c r="M154" i="32"/>
  <c r="M156" i="32"/>
  <c r="I157" i="32"/>
  <c r="M154" i="33"/>
  <c r="I157" i="33"/>
  <c r="M156" i="33"/>
  <c r="M154" i="34"/>
  <c r="I157" i="34"/>
  <c r="M156" i="34"/>
  <c r="M154" i="35"/>
  <c r="I157" i="35"/>
  <c r="M156" i="35"/>
  <c r="M154" i="36"/>
  <c r="I157" i="36"/>
  <c r="M156" i="36"/>
  <c r="M154" i="37"/>
  <c r="M156" i="37"/>
  <c r="I157" i="37"/>
  <c r="M154" i="38"/>
  <c r="I157" i="38"/>
  <c r="M156" i="38"/>
  <c r="M154" i="39"/>
  <c r="I157" i="39"/>
  <c r="M156" i="39"/>
  <c r="M154" i="40"/>
  <c r="M154" i="41"/>
  <c r="I157" i="40"/>
  <c r="M156" i="40"/>
  <c r="M154" i="42"/>
  <c r="I157" i="41"/>
  <c r="M156" i="41"/>
  <c r="M154" i="43"/>
  <c r="I157" i="42"/>
  <c r="M156" i="42"/>
  <c r="M154" i="44"/>
  <c r="I157" i="43"/>
  <c r="M156" i="43"/>
  <c r="I157" i="44"/>
  <c r="M156" i="44"/>
  <c r="M154" i="45"/>
  <c r="I157" i="45"/>
  <c r="M156" i="45"/>
  <c r="M154" i="46"/>
  <c r="I157" i="46"/>
  <c r="M156" i="46"/>
  <c r="M154" i="47"/>
  <c r="I157" i="47"/>
  <c r="M156" i="47"/>
</calcChain>
</file>

<file path=xl/sharedStrings.xml><?xml version="1.0" encoding="utf-8"?>
<sst xmlns="http://schemas.openxmlformats.org/spreadsheetml/2006/main" count="13756" uniqueCount="299">
  <si>
    <t>N.B. This data fact sheet and its notes can only be a summary of certain features of the bonds and their structure. No representation can be made that the information herein is accurate or complete and no liability is</t>
  </si>
  <si>
    <t xml:space="preserve"> accepted therefor. Reference should be made to the issuer  documentation for a full description of the bonds and their structure. This data fact sheet and its notes are for information purposes only and are not intended as  </t>
  </si>
  <si>
    <t xml:space="preserve">an offer or invitation with respect to the purchase or sale of any security. Reliance should not be placedon the information herein when making any decision whether to buy, hold or sell bonds (or other securities) or for any </t>
  </si>
  <si>
    <t>other purpose.</t>
  </si>
  <si>
    <t>Summary Transaction  Features</t>
  </si>
  <si>
    <t>Name of Issuer</t>
  </si>
  <si>
    <t>Originator % at Closing</t>
  </si>
  <si>
    <t xml:space="preserve">Originator % at the Quarter End </t>
  </si>
  <si>
    <t>Date of Issue</t>
  </si>
  <si>
    <t>Date of Production</t>
  </si>
  <si>
    <t>Security Level Data</t>
  </si>
  <si>
    <t>Standard &amp; Poor's Rating at Closing</t>
  </si>
  <si>
    <t>Current Standard &amp; Poors Rating</t>
  </si>
  <si>
    <t>ISIN</t>
  </si>
  <si>
    <t>Original Issue Amount (£'000)</t>
  </si>
  <si>
    <t>Previous Outstanding Note Principal (1)</t>
  </si>
  <si>
    <t>Outstanding Note Principal (1)</t>
  </si>
  <si>
    <t xml:space="preserve">Note Interest Margins: </t>
  </si>
  <si>
    <t>Current Note Interest Rates:</t>
  </si>
  <si>
    <t>Previous Note Interest Rates:</t>
  </si>
  <si>
    <t>Optional Redemption (Call) Dates</t>
  </si>
  <si>
    <t>Step-up Dates</t>
  </si>
  <si>
    <t>Step-up Margins</t>
  </si>
  <si>
    <t>Determination Event for Paying Class B Notes</t>
  </si>
  <si>
    <t>Interest Payment Cycle</t>
  </si>
  <si>
    <t>Interest Payment Date</t>
  </si>
  <si>
    <t>Previous Interest Period (No. of Days)</t>
  </si>
  <si>
    <t>Current Interest Period (No. of Days)</t>
  </si>
  <si>
    <t>Interest Calculated on</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</si>
  <si>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</si>
  <si>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</si>
  <si>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</si>
  <si>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</si>
  <si>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</si>
  <si>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</si>
  <si>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</si>
  <si>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</si>
  <si>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</si>
  <si>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</si>
  <si>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</si>
  <si>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</si>
  <si>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</si>
  <si>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</si>
  <si>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Total revenue cash received this period from assets</t>
  </si>
  <si>
    <t>Drawing on Sub Loan for Interest Shortfalls</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</si>
  <si>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</si>
  <si>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</si>
  <si>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</si>
  <si>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</si>
  <si>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</si>
  <si>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Trustee Fee</t>
  </si>
  <si>
    <t>A Note Interest</t>
  </si>
  <si>
    <t>B Note Interest</t>
  </si>
  <si>
    <t>Third Party payments for Corporation Tax and VAT</t>
  </si>
  <si>
    <t>Termination Fees to Swap Provider</t>
  </si>
  <si>
    <t>Cap/Swap Retention fund</t>
  </si>
  <si>
    <t>Principal payments made from Principal Income:</t>
  </si>
  <si>
    <t>Mandatory Further Advances</t>
  </si>
  <si>
    <t>Discretionary Further Advances</t>
  </si>
  <si>
    <t>B Note repayments</t>
  </si>
  <si>
    <t>Total payments to be made this quarter</t>
  </si>
  <si>
    <t>Total closing cash balance</t>
  </si>
  <si>
    <t>Available Credit Enhancement</t>
  </si>
  <si>
    <t>First Loss Fund Analysis</t>
  </si>
  <si>
    <t>First Loss Fund at Closing</t>
  </si>
  <si>
    <t>Last Quarter closing First Loss Fund balance</t>
  </si>
  <si>
    <t>Replenishments</t>
  </si>
  <si>
    <t>Drawing this quarter</t>
  </si>
  <si>
    <t>Drawing used to pay</t>
  </si>
  <si>
    <t>PDL Replenishment</t>
  </si>
  <si>
    <t>Closing First Loss Fund Balance</t>
  </si>
  <si>
    <t>Requirement</t>
  </si>
  <si>
    <t>Build up - prior periods</t>
  </si>
  <si>
    <t>Build up - this period</t>
  </si>
  <si>
    <t>Requirement Outstanding</t>
  </si>
  <si>
    <t>Principal Deficiency Ledger (PDL)</t>
  </si>
  <si>
    <t>Opening PDL Balance</t>
  </si>
  <si>
    <t>Total PDL balance</t>
  </si>
  <si>
    <t>Closing PDL Balance</t>
  </si>
  <si>
    <t>Over Collateralisation</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</si>
  <si>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</si>
  <si>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</si>
  <si>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</si>
  <si>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</si>
  <si>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</si>
  <si>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</si>
  <si>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</si>
  <si>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</si>
  <si>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</si>
  <si>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</si>
  <si>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</si>
  <si>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</si>
  <si>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</si>
  <si>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</si>
  <si>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Weighted Average Note Coupon</t>
  </si>
  <si>
    <t>Original Spread</t>
  </si>
  <si>
    <t>Current Weighted Average Yield</t>
  </si>
  <si>
    <t>Current Weighted Average Note Coupon</t>
  </si>
  <si>
    <t>Current Spread</t>
  </si>
  <si>
    <t>Stated Maturity - Class A Notes</t>
  </si>
  <si>
    <t>Stated Maturity - Class B Notes</t>
  </si>
  <si>
    <t>Original Weighted Average Maturity</t>
  </si>
  <si>
    <t>Current Weighted Average Maturity</t>
  </si>
  <si>
    <t>Quarterly Prepayment Rate</t>
  </si>
  <si>
    <t>Life Time Prepayment Rate</t>
  </si>
  <si>
    <t>Delinquency Status</t>
  </si>
  <si>
    <t>Enforcements in Progress</t>
  </si>
  <si>
    <t>Aggregate Principal Balance of Repurchased Loans</t>
  </si>
  <si>
    <t>Aggregate Balance of Substituted Loans</t>
  </si>
  <si>
    <t>Principal Losses</t>
  </si>
  <si>
    <t>Agg Loan Principal Losses (during related Collection Period)</t>
  </si>
  <si>
    <t>Cumulative Principal Losses (since closing date)</t>
  </si>
  <si>
    <t>Cumulative Recoveries</t>
  </si>
  <si>
    <t>Average Number of months in Arrears @ Redemption date</t>
  </si>
  <si>
    <t>Average months between Possession &amp; Redemption</t>
  </si>
  <si>
    <t>Delinquency Summary</t>
  </si>
  <si>
    <t>Performing</t>
  </si>
  <si>
    <t>&gt;1&lt;=2 Months</t>
  </si>
  <si>
    <t>&gt;2&lt;=3 Months</t>
  </si>
  <si>
    <t>As at Closing</t>
  </si>
  <si>
    <t>PDD =</t>
  </si>
  <si>
    <t>AAA</t>
  </si>
  <si>
    <t>Last Quarter Balance</t>
  </si>
  <si>
    <t>This Quarter Redemptions and Repayments</t>
  </si>
  <si>
    <t>Class B Notes</t>
  </si>
  <si>
    <t>A</t>
  </si>
  <si>
    <t>Additions this quarter</t>
  </si>
  <si>
    <t>DFA's</t>
  </si>
  <si>
    <t>No.</t>
  </si>
  <si>
    <t>%</t>
  </si>
  <si>
    <t>Senior/Subordinate</t>
  </si>
  <si>
    <t>Class A Notes</t>
  </si>
  <si>
    <t>Repurchases this quarter</t>
  </si>
  <si>
    <t>Principal (£'000)</t>
  </si>
  <si>
    <t>MFA's</t>
  </si>
  <si>
    <t>£'000 Value</t>
  </si>
  <si>
    <t>n/a</t>
  </si>
  <si>
    <t>£'000 Principal</t>
  </si>
  <si>
    <t>=</t>
  </si>
  <si>
    <t>years</t>
  </si>
  <si>
    <t>Quarterly</t>
  </si>
  <si>
    <t>ACTUAL/365</t>
  </si>
  <si>
    <t>Current Principal Outstanding</t>
  </si>
  <si>
    <t>Revenue (£'000)</t>
  </si>
  <si>
    <t>Total</t>
  </si>
  <si>
    <t>x</t>
  </si>
  <si>
    <t>Payments to Swap Counterparty</t>
  </si>
  <si>
    <t>Pre Funding Reserve</t>
  </si>
  <si>
    <t>Paragon Secured Finance (No.1) PLC</t>
  </si>
  <si>
    <t>This performance report is issued by Paragon Finance PLC for and on behalf of Paragon Secured Finance (No.1) PLC</t>
  </si>
  <si>
    <t>PPF</t>
  </si>
  <si>
    <t>PSF1 PLC</t>
  </si>
  <si>
    <t>Class C Notes</t>
  </si>
  <si>
    <t>XS0208202415</t>
  </si>
  <si>
    <t>XS0208202688</t>
  </si>
  <si>
    <t>XS0208202845</t>
  </si>
  <si>
    <t>Fitch Rating at Closing</t>
  </si>
  <si>
    <t>Current Fitch Rating</t>
  </si>
  <si>
    <t>BBB</t>
  </si>
  <si>
    <t>20 bp</t>
  </si>
  <si>
    <t>75 bp</t>
  </si>
  <si>
    <t>100 bp</t>
  </si>
  <si>
    <t>200 bp</t>
  </si>
  <si>
    <t>150 bp</t>
  </si>
  <si>
    <t>40 bp</t>
  </si>
  <si>
    <t>Stated Maturity - Class C Notes</t>
  </si>
  <si>
    <t>PSF1 INVESTOR REPORT QUARTER ENDING APRIL 2005</t>
  </si>
  <si>
    <t>&gt;3&lt;=4 Months</t>
  </si>
  <si>
    <t>&gt;4&lt;=5 Months</t>
  </si>
  <si>
    <t>&gt;5&lt;=6 Months</t>
  </si>
  <si>
    <t>&gt;12 Months</t>
  </si>
  <si>
    <t>Principal Cash</t>
  </si>
  <si>
    <t>C Note Interest</t>
  </si>
  <si>
    <t>Administrator Fee (Junior)</t>
  </si>
  <si>
    <t>Current Pool Factor</t>
  </si>
  <si>
    <t>Previous Pool Factor</t>
  </si>
  <si>
    <t>&gt;6&lt;=9 Months</t>
  </si>
  <si>
    <t>&gt;9=12 Months</t>
  </si>
  <si>
    <t>Class B &amp; C Notes as a percentage Class A Notes at issue</t>
  </si>
  <si>
    <t>Outstanding Class B &amp;C Notes as a percentage of Outstanding Class A Notes</t>
  </si>
  <si>
    <t>Write off of loans</t>
  </si>
  <si>
    <t>Cover Ratio for Class C Notes (at last Interest Payment Date)</t>
  </si>
  <si>
    <t xml:space="preserve">Cover Ratio for Class C Notes (cumulative) </t>
  </si>
  <si>
    <t>PDL replenishment from excess Revenue income</t>
  </si>
  <si>
    <t>4(i)</t>
  </si>
  <si>
    <t>A Note repayments</t>
  </si>
  <si>
    <t>C Note repayments</t>
  </si>
  <si>
    <t>Purchase of Furher Assets during the Period</t>
  </si>
  <si>
    <t>Current Principal Balance, Outstanding Accrued Arrears and Principal Cash (£'000)</t>
  </si>
  <si>
    <t>Total Outstanding Current Principal Balance</t>
  </si>
  <si>
    <t xml:space="preserve">Movement into the &gt; 12 Month Arrears Band </t>
  </si>
  <si>
    <t xml:space="preserve">Total Outstanding Accrued Arrears Sold to the Issuer </t>
  </si>
  <si>
    <t>4(ii)</t>
  </si>
  <si>
    <t>First Loss Fund Replenishment</t>
  </si>
  <si>
    <t>Senior Administrator Fee/ Out of Pocket Expenses/ Substitute Administrators Commitment Fee</t>
  </si>
  <si>
    <t>Surplus income to the Issuer</t>
  </si>
  <si>
    <t>Properties repossessed by Paragon</t>
  </si>
  <si>
    <t>PSF1 INVESTOR REPORT QUARTER ENDING JULY 2005</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</si>
  <si>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</si>
  <si>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</si>
  <si>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</si>
  <si>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PSF1 INVESTOR REPORT QUARTER ENDING OCTOBER 2005</t>
  </si>
  <si>
    <t>&gt;9&lt;=12 Months</t>
  </si>
  <si>
    <t>PSF1 INVESTOR REPORT QUARTER ENDING JANUARY 2006</t>
  </si>
  <si>
    <t>Quarterly Interest Income</t>
  </si>
  <si>
    <t>Redemption Income</t>
  </si>
  <si>
    <t>Investment Income</t>
  </si>
  <si>
    <t xml:space="preserve"> </t>
  </si>
  <si>
    <t>PSF1 INVESTOR REPORT QUARTER ENDING APRIL 2006</t>
  </si>
  <si>
    <t>PSF1 INVESTOR REPORT QUARTER ENDING JULY 2006</t>
  </si>
  <si>
    <t>PSF1 INVESTOR REPORT QUARTER ENDING OCTOBER 2006</t>
  </si>
  <si>
    <t>Total Income as a % of the Mortgages</t>
  </si>
  <si>
    <t>PSF1 INVESTOR REPORT QUARTER ENDING JANUARY 2007</t>
  </si>
  <si>
    <t>PSF1 INVESTOR REPORT QUARTER ENDING APRIL 2007</t>
  </si>
  <si>
    <t>PSF1 INVESTOR REPORT QUARTER ENDING JULY 2007</t>
  </si>
  <si>
    <t>Contact Name/Address</t>
  </si>
  <si>
    <t>Tel.</t>
  </si>
  <si>
    <t>E-mail</t>
  </si>
  <si>
    <t>John Harvey, St. Catherines Court, Herbert Road, Solihull, West Midlands, B91 3QE</t>
  </si>
  <si>
    <t>+44 (0) 121 712 3894</t>
  </si>
  <si>
    <t>john.harvey@paragon-group.co.uk</t>
  </si>
  <si>
    <t>Andrew Kitching, St. Catherines Court, Herbert Road, Solihull, West Midlands, B91 3QE</t>
  </si>
  <si>
    <t>+44 (0) 121 712 3896</t>
  </si>
  <si>
    <t>andrew.kitching@paragon-group.co.uk</t>
  </si>
  <si>
    <t>Jimmy Giles, St. Catherines Court, Herbert Road, Solihull, West Midlands, B91 3QE</t>
  </si>
  <si>
    <t>+44 (0) 121 712 2315</t>
  </si>
  <si>
    <t>jimmy.giles@paragon-group.co.uk</t>
  </si>
  <si>
    <t>PSF1 INVESTOR REPORT QUARTER ENDING OCTOBER 2007</t>
  </si>
  <si>
    <t>PSF1 INVESTOR REPORT QUARTER ENDING JANUARY 2008</t>
  </si>
  <si>
    <t>PSF1 INVESTOR REPORT QUARTER ENDING APRIL 2008</t>
  </si>
  <si>
    <t>PSF1 INVESTOR REPORT QUARTER ENDING JULY 2008</t>
  </si>
  <si>
    <t>PSF1 INVESTOR REPORT QUARTER ENDING OCTOBER 2008</t>
  </si>
  <si>
    <t>Interest Received Versus Interest Due</t>
  </si>
  <si>
    <t>PSF1 INVESTOR REPORT QUARTER ENDING JANUARY 2009</t>
  </si>
  <si>
    <t>PSF1 INVESTOR REPORT QUARTER ENDING APRIL 2009</t>
  </si>
  <si>
    <t xml:space="preserve">or the IPD falling  in February 2010, whichever is the later </t>
  </si>
  <si>
    <t xml:space="preserve">Properties Sold by Mortgagee </t>
  </si>
  <si>
    <t>Properties Sold by Mortgagee</t>
  </si>
  <si>
    <t>PSF1 INVESTOR REPORT QUARTER ENDING JULY 2009</t>
  </si>
  <si>
    <t>BBB-</t>
  </si>
  <si>
    <t>Aggregate Balance of Discretionary Further Advances in the period</t>
  </si>
  <si>
    <t>Possession Properties Sold</t>
  </si>
  <si>
    <t>PSF1 INVESTOR REPORT QUARTER ENDING OCTOBER 2009</t>
  </si>
  <si>
    <t>PSF1 INVESTOR REPORT QUARTER ENDING JANUARY 2010</t>
  </si>
  <si>
    <t>PSF1 INVESTOR REPORT QUARTER ENDING APRIL 2010</t>
  </si>
  <si>
    <t>PSF1 INVESTOR REPORT QUARTER ENDING JULY 2010</t>
  </si>
  <si>
    <t>PSF1 INVESTOR REPORT QUARTER ENDING OCTOBER 2010</t>
  </si>
  <si>
    <t>PSF1 INVESTOR REPORT QUARTER ENDING JANUARY 2011</t>
  </si>
  <si>
    <t>PSF1 INVESTOR REPORT QUARTER ENDING APRIL 2011</t>
  </si>
  <si>
    <t>PSF1 INVESTOR REPORT QUARTER ENDING JULY 2011</t>
  </si>
  <si>
    <t>PSF1 INVESTOR REPORT QUARTER ENDING OCTOBER 2011</t>
  </si>
  <si>
    <t>PSF1 INVESTOR REPORT QUARTER ENDING JANUARY 2012</t>
  </si>
  <si>
    <t>PSF1 INVESTOR REPORT QUARTER ENDING APRIL 2012</t>
  </si>
  <si>
    <t>PSF1 INVESTOR REPORT QUARTER ENDING JULY 2012</t>
  </si>
  <si>
    <t>AA+</t>
  </si>
  <si>
    <t>B</t>
  </si>
  <si>
    <t>PSF1 INVESTOR REPORT QUARTER ENDING OCTOBER 2012</t>
  </si>
  <si>
    <t>PSF1 INVESTOR REPORT QUARTER ENDING JANUARY 2013</t>
  </si>
  <si>
    <t>PFPLC/PSF1 Subordinated Loan drawing for the First Loss Fund Requirement</t>
  </si>
  <si>
    <t>PSF1 INVESTOR REPORT QUARTER ENDING APRIL 2013</t>
  </si>
  <si>
    <t>PSF1 INVESTOR REPORT QUARTER ENDING JULY 2013</t>
  </si>
  <si>
    <t>John Harvey, 51 Homer Road, Solihull, West Midlands, B91 3QJ</t>
  </si>
  <si>
    <t>Andrew Kitching, 51 Homer Road, Solihull, West Midlands, B91 3QJ</t>
  </si>
  <si>
    <t>Jimmy Giles, 51 Homer Road, Solihull, West Midlands, B91 3QJ</t>
  </si>
  <si>
    <t>PSF1 INVESTOR REPORT QUARTER ENDING OCTOBER 2013</t>
  </si>
  <si>
    <t>PSF1 INVESTOR REPORT QUARTER ENDING JANUARY 2014</t>
  </si>
  <si>
    <t>PSF1 INVESTOR REPORT QUARTER ENDING APRIL 2014</t>
  </si>
  <si>
    <t>PSF1 INVESTOR REPORT QUARTER ENDING JULY 2014</t>
  </si>
  <si>
    <t>PSF1 INVESTOR REPORT QUARTER ENDING OCTOBER 2014</t>
  </si>
  <si>
    <t>PSF1 INVESTOR REPORT QUARTER ENDING JANUARY 2015</t>
  </si>
  <si>
    <t>PSF1 INVESTOR REPORT QUARTER ENDING APRIL 2015</t>
  </si>
  <si>
    <t>PSF1 INVESTOR REPORT QUARTER ENDING JULY 2015</t>
  </si>
  <si>
    <t>A-</t>
  </si>
  <si>
    <t>BB</t>
  </si>
  <si>
    <t>PSF1 INVESTOR REPORT QUARTER ENDING OCTOBER 2015</t>
  </si>
  <si>
    <t>PSF1 INVESTOR REPORT QUARTER ENDING JANUARY 2016</t>
  </si>
  <si>
    <t>PSF1 INVESTOR REPORT QUARTER ENDING APRIL 2016</t>
  </si>
  <si>
    <t>A+</t>
  </si>
  <si>
    <t>BBB+</t>
  </si>
  <si>
    <t>PSF1 INVESTOR REPORT QUARTER ENDING JULY 2016</t>
  </si>
  <si>
    <t>PSF1 INVESTOR REPORT QUARTER ENDING OCTOBER 2016</t>
  </si>
  <si>
    <t>PSF1 INVESTOR REPORT QUARTER ENDING JANUARY 2017</t>
  </si>
  <si>
    <t>PSF1 INVESTOR REPORT QUARTER ENDING APRIL 2017</t>
  </si>
  <si>
    <t>AA</t>
  </si>
  <si>
    <t>AA-</t>
  </si>
  <si>
    <t>PSF1 INVESTOR REPORT QUARTER ENDING JULY 2017</t>
  </si>
  <si>
    <t>http://www.paragonbankinggroup.co.uk</t>
  </si>
  <si>
    <t>andrew.kitching@paragonbank.co.uk</t>
  </si>
  <si>
    <t>jimmy.giles@paragonbank.co.uk</t>
  </si>
  <si>
    <t>PSF1 INVESTOR REPORT QUARTER ENDING OCTOBER 2017</t>
  </si>
  <si>
    <t>Previous Outstanding Note Principal</t>
  </si>
  <si>
    <t xml:space="preserve">Outstanding Note Principal </t>
  </si>
  <si>
    <t>PSF1 INVESTOR REPORT QUARTER ENDING JANUARY 2018</t>
  </si>
  <si>
    <t>PSF1 INVESTOR REPORT QUARTER ENDING APRIL 2018</t>
  </si>
  <si>
    <t>PSF1 INVESTOR REPORT QUARTER ENDING JULY 2018</t>
  </si>
  <si>
    <t>PSF1 INVESTOR REPORT QUARTER ENDING OCTOBER 2018</t>
  </si>
  <si>
    <t>Release of the First Loss Fund following repayment of the Notes</t>
  </si>
  <si>
    <t>Release of the First Loss Fund to Revenue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</si>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</sst>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809]#,##0"/>
    <numFmt numFmtId="165" formatCode="#,##0.000000"/>
    <numFmt numFmtId="166" formatCode="0.00000%"/>
    <numFmt numFmtId="167" formatCode="0.0%"/>
    <numFmt numFmtId="168" formatCode="d\-mmm\-yy"/>
    <numFmt numFmtId="169" formatCode="dd/mm/yyyy;@"/>
  </numFmts>
  <fonts count="77"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b/>
      <i/>
      <sz val="12"/>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u/>
      <sz val="8.4"/>
      <color indexed="12"/>
      <name val="Arial"/>
      <family val="2"/>
    </font>
    <font>
      <sz val="12"/>
      <name val="Times New Roman"/>
      <family val="1"/>
    </font>
    <font>
      <b/>
      <sz val="12"/>
      <color indexed="53"/>
      <name val="Times New Roman"/>
      <family val="1"/>
    </font>
    <font>
      <sz val="12"/>
      <color indexed="8"/>
      <name val="Times New Roman"/>
      <family val="1"/>
    </font>
    <font>
      <b/>
      <sz val="14"/>
      <color indexed="53"/>
      <name val="Times New Roman"/>
      <family val="1"/>
    </font>
    <font>
      <b/>
      <u/>
      <sz val="14"/>
      <color indexed="53"/>
      <name val="Arial"/>
      <family val="2"/>
    </font>
    <font>
      <b/>
      <u/>
      <sz val="14"/>
      <color indexed="53"/>
      <name val="Times New Roman"/>
      <family val="1"/>
    </font>
    <font>
      <b/>
      <u/>
      <sz val="16"/>
      <color indexed="18"/>
      <name val="Times New Roman"/>
      <family val="1"/>
    </font>
    <font>
      <b/>
      <i/>
      <sz val="10"/>
      <color indexed="18"/>
      <name val="Times New Roman"/>
      <family val="1"/>
    </font>
    <font>
      <b/>
      <sz val="12"/>
      <color indexed="18"/>
      <name val="Times New Roman"/>
      <family val="1"/>
    </font>
    <font>
      <sz val="12"/>
      <color indexed="18"/>
      <name val="Times New Roman"/>
      <family val="1"/>
    </font>
    <font>
      <b/>
      <u/>
      <sz val="12"/>
      <color indexed="18"/>
      <name val="Times New Roman"/>
      <family val="1"/>
    </font>
    <font>
      <sz val="12"/>
      <color indexed="18"/>
      <name val="Arial"/>
      <family val="2"/>
    </font>
    <font>
      <b/>
      <sz val="14"/>
      <color indexed="18"/>
      <name val="Times New Roman"/>
      <family val="1"/>
    </font>
    <font>
      <sz val="12"/>
      <color indexed="18"/>
      <name val="Times New Roman"/>
      <family val="1"/>
    </font>
    <font>
      <b/>
      <sz val="12"/>
      <color indexed="18"/>
      <name val="Arial"/>
      <family val="2"/>
    </font>
    <font>
      <sz val="12"/>
      <color indexed="9"/>
      <name val="Times New Roman"/>
      <family val="1"/>
    </font>
    <font>
      <b/>
      <sz val="12"/>
      <color indexed="9"/>
      <name val="Times New Roman"/>
      <family val="1"/>
    </font>
    <font>
      <b/>
      <u/>
      <sz val="12"/>
      <color indexed="9"/>
      <name val="Times New Roman"/>
      <family val="1"/>
    </font>
    <font>
      <u/>
      <sz val="12"/>
      <color indexed="9"/>
      <name val="Times New Roman"/>
      <family val="1"/>
    </font>
    <font>
      <b/>
      <sz val="12"/>
      <color indexed="9"/>
      <name val="Times New Roman"/>
      <family val="1"/>
    </font>
    <font>
      <sz val="12"/>
      <color indexed="9"/>
      <name val="Times New Roman"/>
      <family val="1"/>
    </font>
    <font>
      <sz val="12"/>
      <color indexed="9"/>
      <name val="Arial"/>
      <family val="2"/>
    </font>
    <font>
      <sz val="12"/>
      <color rgb="FF000080"/>
      <name val="Times New Roman"/>
      <family val="1"/>
    </font>
    <font>
      <sz val="12"/>
      <color rgb="FF002060"/>
      <name val="Times New Roman"/>
      <family val="1"/>
    </font>
    <font>
      <sz val="12"/>
      <name val="Calibri"/>
      <family val="2"/>
      <scheme val="minor"/>
    </font>
    <font>
      <b/>
      <u/>
      <sz val="16"/>
      <color rgb="FF2D2926"/>
      <name val="Calibri"/>
      <family val="2"/>
      <scheme val="minor"/>
    </font>
    <font>
      <b/>
      <u/>
      <sz val="12"/>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2"/>
      <name val="Calibri"/>
      <family val="2"/>
      <scheme val="minor"/>
    </font>
    <font>
      <b/>
      <sz val="14"/>
      <color rgb="FF89CB31"/>
      <name val="Calibri"/>
      <family val="2"/>
      <scheme val="minor"/>
    </font>
    <font>
      <b/>
      <u/>
      <sz val="12"/>
      <color rgb="FF89CB31"/>
      <name val="Calibri"/>
      <family val="2"/>
      <scheme val="minor"/>
    </font>
    <font>
      <b/>
      <i/>
      <sz val="10"/>
      <name val="Calibri"/>
      <family val="2"/>
      <scheme val="minor"/>
    </font>
    <font>
      <b/>
      <sz val="12"/>
      <name val="Calibri"/>
      <family val="2"/>
      <scheme val="minor"/>
    </font>
    <font>
      <b/>
      <sz val="12"/>
      <color rgb="FF2D2926"/>
      <name val="Calibri"/>
      <family val="2"/>
      <scheme val="minor"/>
    </font>
    <font>
      <sz val="12"/>
      <color rgb="FF2D2926"/>
      <name val="Calibri"/>
      <family val="2"/>
      <scheme val="minor"/>
    </font>
    <font>
      <b/>
      <u/>
      <sz val="12"/>
      <color rgb="FF2D2926"/>
      <name val="Calibri"/>
      <family val="2"/>
      <scheme val="minor"/>
    </font>
    <font>
      <sz val="12"/>
      <color indexed="12"/>
      <name val="Calibri"/>
      <family val="2"/>
      <scheme val="minor"/>
    </font>
    <font>
      <sz val="12"/>
      <color indexed="9"/>
      <name val="Calibri"/>
      <family val="2"/>
      <scheme val="minor"/>
    </font>
    <font>
      <b/>
      <sz val="12"/>
      <color indexed="9"/>
      <name val="Calibri"/>
      <family val="2"/>
      <scheme val="minor"/>
    </font>
    <font>
      <b/>
      <sz val="12"/>
      <color indexed="12"/>
      <name val="Calibri"/>
      <family val="2"/>
      <scheme val="minor"/>
    </font>
    <font>
      <sz val="12"/>
      <color indexed="18"/>
      <name val="Calibri"/>
      <family val="2"/>
      <scheme val="minor"/>
    </font>
    <font>
      <b/>
      <sz val="12"/>
      <color indexed="53"/>
      <name val="Calibri"/>
      <family val="2"/>
      <scheme val="minor"/>
    </font>
    <font>
      <sz val="12"/>
      <color indexed="8"/>
      <name val="Calibri"/>
      <family val="2"/>
      <scheme val="minor"/>
    </font>
    <font>
      <b/>
      <sz val="14"/>
      <color rgb="FF2D2926"/>
      <name val="Calibri"/>
      <family val="2"/>
      <scheme val="minor"/>
    </font>
    <font>
      <b/>
      <u/>
      <sz val="12"/>
      <color indexed="9"/>
      <name val="Calibri"/>
      <family val="2"/>
      <scheme val="minor"/>
    </font>
    <font>
      <sz val="12"/>
      <color indexed="53"/>
      <name val="Calibri"/>
      <family val="2"/>
      <scheme val="minor"/>
    </font>
    <font>
      <u/>
      <sz val="12"/>
      <color indexed="9"/>
      <name val="Calibri"/>
      <family val="2"/>
      <scheme val="minor"/>
    </font>
    <font>
      <b/>
      <sz val="12"/>
      <color indexed="29"/>
      <name val="Calibri"/>
      <family val="2"/>
      <scheme val="minor"/>
    </font>
    <font>
      <b/>
      <u/>
      <sz val="12"/>
      <color indexed="8"/>
      <name val="Calibri"/>
      <family val="2"/>
      <scheme val="minor"/>
    </font>
    <font>
      <b/>
      <sz val="12"/>
      <color indexed="8"/>
      <name val="Calibri"/>
      <family val="2"/>
      <scheme val="minor"/>
    </font>
    <font>
      <b/>
      <sz val="12"/>
      <color indexed="18"/>
      <name val="Calibri"/>
      <family val="2"/>
      <scheme val="minor"/>
    </font>
  </fonts>
  <fills count="7">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89CB31"/>
        <bgColor indexed="64"/>
      </patternFill>
    </fill>
    <fill>
      <patternFill patternType="solid">
        <fgColor rgb="FFF4F4F4"/>
        <bgColor indexed="64"/>
      </patternFill>
    </fill>
  </fills>
  <borders count="21">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23"/>
      </top>
      <bottom style="thin">
        <color indexed="23"/>
      </bottom>
      <diagonal/>
    </border>
    <border>
      <left style="medium">
        <color indexed="8"/>
      </left>
      <right/>
      <top style="thin">
        <color indexed="8"/>
      </top>
      <bottom style="thin">
        <color indexed="23"/>
      </bottom>
      <diagonal/>
    </border>
    <border>
      <left/>
      <right/>
      <top style="thin">
        <color indexed="8"/>
      </top>
      <bottom style="thin">
        <color indexed="23"/>
      </bottom>
      <diagonal/>
    </border>
    <border>
      <left/>
      <right style="medium">
        <color indexed="8"/>
      </right>
      <top style="thin">
        <color indexed="8"/>
      </top>
      <bottom style="thin">
        <color indexed="23"/>
      </bottom>
      <diagonal/>
    </border>
    <border>
      <left style="medium">
        <color indexed="8"/>
      </left>
      <right/>
      <top/>
      <bottom style="thin">
        <color indexed="23"/>
      </bottom>
      <diagonal/>
    </border>
    <border>
      <left/>
      <right/>
      <top/>
      <bottom style="thin">
        <color indexed="23"/>
      </bottom>
      <diagonal/>
    </border>
    <border>
      <left/>
      <right style="medium">
        <color indexed="8"/>
      </right>
      <top/>
      <bottom style="thin">
        <color indexed="23"/>
      </bottom>
      <diagonal/>
    </border>
    <border>
      <left/>
      <right style="medium">
        <color indexed="8"/>
      </right>
      <top/>
      <bottom/>
      <diagonal/>
    </border>
    <border>
      <left/>
      <right style="medium">
        <color indexed="8"/>
      </right>
      <top style="medium">
        <color indexed="8"/>
      </top>
      <bottom/>
      <diagonal/>
    </border>
    <border>
      <left/>
      <right/>
      <top style="thin">
        <color indexed="55"/>
      </top>
      <bottom style="thin">
        <color indexed="55"/>
      </bottom>
      <diagonal/>
    </border>
  </borders>
  <cellStyleXfs count="2">
    <xf numFmtId="0" fontId="0" fillId="0" borderId="0"/>
    <xf numFmtId="0" fontId="23" fillId="0" borderId="0" applyNumberFormat="0" applyFill="0" applyBorder="0" applyAlignment="0" applyProtection="0">
      <alignment vertical="top"/>
      <protection locked="0"/>
    </xf>
  </cellStyleXfs>
  <cellXfs count="606">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4"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xf numFmtId="0" fontId="13" fillId="2" borderId="0" xfId="0" applyNumberFormat="1" applyFont="1" applyFill="1" applyAlignment="1">
      <alignment horizontal="center" wrapText="1"/>
    </xf>
    <xf numFmtId="0" fontId="11" fillId="2" borderId="0" xfId="0" applyNumberFormat="1" applyFont="1" applyFill="1" applyAlignment="1">
      <alignment horizontal="center"/>
    </xf>
    <xf numFmtId="9" fontId="11" fillId="2" borderId="0" xfId="0" applyNumberFormat="1" applyFont="1" applyFill="1" applyAlignment="1">
      <alignment horizontal="center"/>
    </xf>
    <xf numFmtId="15" fontId="11"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9" fillId="2" borderId="5" xfId="0" applyNumberFormat="1" applyFont="1" applyFill="1" applyBorder="1" applyAlignment="1"/>
    <xf numFmtId="0" fontId="11" fillId="2" borderId="4" xfId="0" applyNumberFormat="1" applyFont="1" applyFill="1" applyBorder="1" applyAlignment="1"/>
    <xf numFmtId="0" fontId="11" fillId="2" borderId="5" xfId="0" applyNumberFormat="1" applyFont="1" applyFill="1" applyBorder="1" applyAlignment="1"/>
    <xf numFmtId="0" fontId="11" fillId="2" borderId="5" xfId="0" applyNumberFormat="1" applyFont="1" applyFill="1" applyBorder="1" applyAlignment="1">
      <alignment horizontal="center" wrapText="1"/>
    </xf>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9" fillId="2" borderId="5" xfId="0" applyNumberFormat="1" applyFont="1" applyFill="1" applyBorder="1" applyAlignment="1"/>
    <xf numFmtId="3" fontId="2" fillId="2" borderId="5" xfId="0" applyNumberFormat="1" applyFont="1" applyFill="1" applyBorder="1" applyAlignment="1"/>
    <xf numFmtId="164" fontId="11" fillId="2" borderId="5" xfId="0" applyNumberFormat="1" applyFont="1" applyFill="1" applyBorder="1" applyAlignment="1">
      <alignment horizontal="center"/>
    </xf>
    <xf numFmtId="164" fontId="11" fillId="2" borderId="5" xfId="0" applyNumberFormat="1" applyFont="1" applyFill="1" applyBorder="1" applyAlignment="1"/>
    <xf numFmtId="164" fontId="15" fillId="2" borderId="5" xfId="0" applyNumberFormat="1" applyFont="1" applyFill="1" applyBorder="1" applyAlignment="1"/>
    <xf numFmtId="166"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6" fontId="2" fillId="2" borderId="5" xfId="0" applyNumberFormat="1" applyFont="1" applyFill="1" applyBorder="1" applyAlignment="1"/>
    <xf numFmtId="4" fontId="2" fillId="2" borderId="5" xfId="0" applyNumberFormat="1" applyFont="1" applyFill="1" applyBorder="1" applyAlignment="1">
      <alignment horizontal="center"/>
    </xf>
    <xf numFmtId="15" fontId="11" fillId="2" borderId="5" xfId="0" applyNumberFormat="1" applyFont="1" applyFill="1" applyBorder="1" applyAlignment="1">
      <alignment horizontal="center"/>
    </xf>
    <xf numFmtId="15" fontId="11" fillId="2" borderId="5" xfId="0" applyNumberFormat="1" applyFont="1" applyFill="1" applyBorder="1" applyAlignment="1" applyProtection="1">
      <alignment horizontal="center"/>
      <protection locked="0"/>
    </xf>
    <xf numFmtId="15" fontId="14" fillId="2" borderId="5" xfId="0" applyNumberFormat="1" applyFont="1" applyFill="1" applyBorder="1" applyAlignment="1" applyProtection="1">
      <alignment horizontal="center"/>
      <protection locked="0"/>
    </xf>
    <xf numFmtId="15" fontId="14" fillId="2" borderId="5" xfId="0" applyNumberFormat="1" applyFont="1" applyFill="1" applyBorder="1" applyAlignment="1">
      <alignment horizontal="center"/>
    </xf>
    <xf numFmtId="15" fontId="14" fillId="2" borderId="0" xfId="0" applyNumberFormat="1" applyFont="1" applyFill="1" applyAlignment="1" applyProtection="1">
      <alignment horizontal="center"/>
      <protection locked="0"/>
    </xf>
    <xf numFmtId="15" fontId="14" fillId="2" borderId="0" xfId="0" applyNumberFormat="1" applyFont="1" applyFill="1" applyAlignment="1">
      <alignment horizontal="center"/>
    </xf>
    <xf numFmtId="0" fontId="16"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3" fillId="2" borderId="0" xfId="0" applyNumberFormat="1" applyFont="1" applyFill="1" applyAlignment="1"/>
    <xf numFmtId="4" fontId="2" fillId="2" borderId="0" xfId="0" applyNumberFormat="1" applyFont="1" applyFill="1" applyAlignment="1" applyProtection="1">
      <alignment horizontal="right"/>
      <protection locked="0"/>
    </xf>
    <xf numFmtId="3" fontId="14" fillId="2" borderId="5" xfId="0" applyNumberFormat="1" applyFont="1" applyFill="1" applyBorder="1" applyAlignment="1" applyProtection="1">
      <alignment horizontal="right"/>
      <protection locked="0"/>
    </xf>
    <xf numFmtId="3" fontId="14" fillId="2" borderId="5" xfId="0" applyNumberFormat="1" applyFont="1" applyFill="1" applyBorder="1" applyAlignment="1"/>
    <xf numFmtId="3" fontId="2" fillId="2" borderId="0" xfId="0" applyNumberFormat="1" applyFont="1" applyFill="1" applyAlignment="1"/>
    <xf numFmtId="3" fontId="14"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0" fontId="4" fillId="2" borderId="5" xfId="0" applyNumberFormat="1" applyFont="1" applyFill="1" applyBorder="1" applyAlignment="1"/>
    <xf numFmtId="4" fontId="14" fillId="2" borderId="5" xfId="0" applyNumberFormat="1" applyFont="1" applyFill="1" applyBorder="1" applyAlignment="1" applyProtection="1">
      <alignment horizontal="right"/>
      <protection locked="0"/>
    </xf>
    <xf numFmtId="0" fontId="13" fillId="2" borderId="2" xfId="0" applyNumberFormat="1" applyFont="1" applyFill="1" applyBorder="1" applyAlignment="1"/>
    <xf numFmtId="0" fontId="10"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2" fillId="2" borderId="5" xfId="0" applyNumberFormat="1" applyFont="1" applyFill="1" applyBorder="1" applyAlignment="1"/>
    <xf numFmtId="4" fontId="14" fillId="2" borderId="5" xfId="0" applyNumberFormat="1" applyFont="1" applyFill="1" applyBorder="1" applyAlignment="1" applyProtection="1">
      <alignment horizontal="center"/>
      <protection locked="0"/>
    </xf>
    <xf numFmtId="4" fontId="14" fillId="2" borderId="0" xfId="0" applyNumberFormat="1" applyFont="1" applyFill="1" applyAlignment="1" applyProtection="1">
      <alignment horizontal="right"/>
      <protection locked="0"/>
    </xf>
    <xf numFmtId="15" fontId="17" fillId="2" borderId="5" xfId="0" applyNumberFormat="1" applyFont="1" applyFill="1" applyBorder="1" applyAlignment="1">
      <alignment horizontal="center"/>
    </xf>
    <xf numFmtId="0" fontId="10" fillId="2" borderId="5" xfId="0" applyNumberFormat="1" applyFont="1" applyFill="1" applyBorder="1" applyAlignment="1"/>
    <xf numFmtId="0" fontId="2" fillId="2" borderId="0" xfId="0" applyNumberFormat="1" applyFont="1" applyFill="1" applyAlignment="1" applyProtection="1">
      <protection locked="0"/>
    </xf>
    <xf numFmtId="0" fontId="14" fillId="2" borderId="5" xfId="0" applyNumberFormat="1" applyFont="1" applyFill="1" applyBorder="1" applyAlignment="1" applyProtection="1">
      <alignment horizontal="right"/>
      <protection locked="0"/>
    </xf>
    <xf numFmtId="2" fontId="14" fillId="2" borderId="5" xfId="0" applyNumberFormat="1" applyFont="1" applyFill="1" applyBorder="1" applyAlignment="1" applyProtection="1">
      <alignment horizontal="right"/>
      <protection locked="0"/>
    </xf>
    <xf numFmtId="0" fontId="14" fillId="2" borderId="1" xfId="0" applyNumberFormat="1" applyFont="1" applyFill="1" applyBorder="1" applyAlignment="1"/>
    <xf numFmtId="15" fontId="17" fillId="2" borderId="2" xfId="0" applyNumberFormat="1" applyFont="1" applyFill="1" applyBorder="1" applyAlignment="1">
      <alignment horizontal="centerContinuous"/>
    </xf>
    <xf numFmtId="15" fontId="17" fillId="2" borderId="2" xfId="0" applyNumberFormat="1" applyFont="1" applyFill="1" applyBorder="1" applyAlignment="1">
      <alignment horizontal="center"/>
    </xf>
    <xf numFmtId="15" fontId="11" fillId="2" borderId="2" xfId="0" applyNumberFormat="1" applyFont="1" applyFill="1" applyBorder="1" applyAlignment="1">
      <alignment horizontal="center"/>
    </xf>
    <xf numFmtId="0" fontId="14" fillId="2" borderId="3" xfId="0" applyNumberFormat="1" applyFont="1" applyFill="1" applyBorder="1" applyAlignment="1"/>
    <xf numFmtId="0" fontId="18" fillId="2" borderId="0" xfId="0" applyNumberFormat="1" applyFont="1" applyFill="1" applyAlignment="1"/>
    <xf numFmtId="15" fontId="17" fillId="2" borderId="0" xfId="0" applyNumberFormat="1" applyFont="1" applyFill="1" applyAlignment="1">
      <alignment horizontal="centerContinuous"/>
    </xf>
    <xf numFmtId="15" fontId="17" fillId="2" borderId="0" xfId="0" applyNumberFormat="1" applyFont="1" applyFill="1" applyAlignment="1">
      <alignment horizontal="center"/>
    </xf>
    <xf numFmtId="0" fontId="14" fillId="2" borderId="4" xfId="0" applyNumberFormat="1" applyFont="1" applyFill="1" applyBorder="1" applyAlignment="1"/>
    <xf numFmtId="0" fontId="14" fillId="2" borderId="5" xfId="0" applyNumberFormat="1" applyFont="1" applyFill="1" applyBorder="1" applyAlignment="1"/>
    <xf numFmtId="15" fontId="17" fillId="2" borderId="5" xfId="0" applyNumberFormat="1" applyFont="1" applyFill="1" applyBorder="1" applyAlignment="1">
      <alignment horizontal="centerContinuous"/>
    </xf>
    <xf numFmtId="10" fontId="14"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4" fillId="2" borderId="3" xfId="0" applyNumberFormat="1" applyFont="1" applyFill="1" applyBorder="1" applyAlignment="1">
      <alignment horizontal="right"/>
    </xf>
    <xf numFmtId="0" fontId="17" fillId="2" borderId="0" xfId="0" applyNumberFormat="1" applyFont="1" applyFill="1" applyAlignment="1">
      <alignment horizontal="center"/>
    </xf>
    <xf numFmtId="3" fontId="17" fillId="2" borderId="0" xfId="0" applyNumberFormat="1" applyFont="1" applyFill="1" applyAlignment="1">
      <alignment horizontal="center"/>
    </xf>
    <xf numFmtId="3" fontId="11" fillId="2" borderId="0" xfId="0" applyNumberFormat="1" applyFont="1" applyFill="1" applyAlignment="1">
      <alignment horizontal="center"/>
    </xf>
    <xf numFmtId="0" fontId="14" fillId="2" borderId="4" xfId="0" applyNumberFormat="1" applyFont="1" applyFill="1" applyBorder="1" applyAlignment="1">
      <alignment horizontal="right"/>
    </xf>
    <xf numFmtId="3" fontId="14" fillId="2" borderId="5" xfId="0" applyNumberFormat="1" applyFont="1" applyFill="1" applyBorder="1" applyAlignment="1" applyProtection="1">
      <alignment horizontal="center"/>
      <protection locked="0"/>
    </xf>
    <xf numFmtId="3" fontId="17" fillId="2" borderId="5" xfId="0" applyNumberFormat="1" applyFont="1" applyFill="1" applyBorder="1" applyAlignment="1"/>
    <xf numFmtId="0" fontId="14" fillId="2" borderId="4" xfId="0" applyNumberFormat="1" applyFont="1" applyFill="1" applyBorder="1" applyAlignment="1">
      <alignment horizontal="center"/>
    </xf>
    <xf numFmtId="0" fontId="17" fillId="2" borderId="5" xfId="0" applyNumberFormat="1" applyFont="1" applyFill="1" applyBorder="1" applyAlignment="1"/>
    <xf numFmtId="0" fontId="14" fillId="2" borderId="5" xfId="0" applyNumberFormat="1" applyFont="1" applyFill="1" applyBorder="1" applyAlignment="1">
      <alignment horizontal="right"/>
    </xf>
    <xf numFmtId="4" fontId="14" fillId="2" borderId="5" xfId="0" applyNumberFormat="1" applyFont="1" applyFill="1" applyBorder="1" applyAlignment="1">
      <alignment horizontal="right"/>
    </xf>
    <xf numFmtId="9" fontId="14" fillId="2" borderId="5" xfId="0" applyNumberFormat="1" applyFont="1" applyFill="1" applyBorder="1" applyAlignment="1">
      <alignment horizontal="right"/>
    </xf>
    <xf numFmtId="10" fontId="14" fillId="2" borderId="5" xfId="0" applyNumberFormat="1" applyFont="1" applyFill="1" applyBorder="1" applyAlignment="1" applyProtection="1">
      <alignment horizontal="center"/>
      <protection locked="0"/>
    </xf>
    <xf numFmtId="0" fontId="17" fillId="2" borderId="0" xfId="0" applyNumberFormat="1" applyFont="1" applyFill="1" applyAlignment="1"/>
    <xf numFmtId="167" fontId="14" fillId="2" borderId="5" xfId="0" applyNumberFormat="1" applyFont="1" applyFill="1" applyBorder="1" applyAlignment="1"/>
    <xf numFmtId="10" fontId="14" fillId="2" borderId="5" xfId="0" applyNumberFormat="1" applyFont="1" applyFill="1" applyBorder="1" applyAlignment="1"/>
    <xf numFmtId="9" fontId="2" fillId="2" borderId="5" xfId="0" applyNumberFormat="1" applyFont="1" applyFill="1" applyBorder="1" applyAlignment="1"/>
    <xf numFmtId="0" fontId="9" fillId="2" borderId="3" xfId="0" applyNumberFormat="1" applyFont="1" applyFill="1" applyBorder="1" applyAlignment="1"/>
    <xf numFmtId="0" fontId="19" fillId="2" borderId="0" xfId="0" applyNumberFormat="1" applyFont="1" applyFill="1" applyAlignment="1"/>
    <xf numFmtId="0" fontId="10" fillId="2" borderId="0" xfId="0" applyNumberFormat="1" applyFont="1" applyFill="1" applyAlignment="1">
      <alignment horizontal="center"/>
    </xf>
    <xf numFmtId="0" fontId="0" fillId="0" borderId="2" xfId="0" applyNumberFormat="1" applyBorder="1"/>
    <xf numFmtId="0" fontId="2" fillId="2" borderId="6" xfId="0" applyNumberFormat="1" applyFont="1" applyFill="1" applyBorder="1" applyAlignment="1"/>
    <xf numFmtId="0" fontId="16"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9" fillId="2" borderId="7" xfId="0" applyNumberFormat="1" applyFont="1" applyFill="1" applyBorder="1" applyAlignment="1"/>
    <xf numFmtId="0" fontId="9" fillId="2" borderId="8" xfId="0" applyNumberFormat="1" applyFont="1" applyFill="1" applyBorder="1" applyAlignment="1"/>
    <xf numFmtId="3" fontId="1" fillId="0" borderId="0" xfId="0" applyNumberFormat="1" applyFont="1" applyAlignment="1"/>
    <xf numFmtId="168" fontId="2" fillId="2" borderId="5" xfId="0" applyNumberFormat="1" applyFont="1" applyFill="1" applyBorder="1" applyAlignment="1">
      <alignment horizontal="center"/>
    </xf>
    <xf numFmtId="0" fontId="20" fillId="2" borderId="0" xfId="0" applyNumberFormat="1" applyFont="1" applyFill="1" applyAlignment="1"/>
    <xf numFmtId="0" fontId="20" fillId="2" borderId="0" xfId="0" applyNumberFormat="1" applyFont="1" applyFill="1" applyAlignment="1">
      <alignment horizontal="center" wrapText="1"/>
    </xf>
    <xf numFmtId="0" fontId="21" fillId="2" borderId="0" xfId="0" applyNumberFormat="1" applyFont="1" applyFill="1" applyAlignment="1">
      <alignment horizontal="center" wrapText="1"/>
    </xf>
    <xf numFmtId="0" fontId="20" fillId="2" borderId="0" xfId="0" applyNumberFormat="1" applyFont="1" applyFill="1" applyAlignment="1">
      <alignment horizontal="left" vertical="top" wrapText="1"/>
    </xf>
    <xf numFmtId="0" fontId="20" fillId="2" borderId="0" xfId="0" applyNumberFormat="1" applyFont="1" applyFill="1" applyAlignment="1">
      <alignment horizontal="center" vertical="top" wrapText="1"/>
    </xf>
    <xf numFmtId="4" fontId="20" fillId="2" borderId="0" xfId="0" applyNumberFormat="1" applyFont="1" applyFill="1" applyAlignment="1" applyProtection="1">
      <alignment horizontal="center" vertical="top" wrapText="1"/>
      <protection locked="0"/>
    </xf>
    <xf numFmtId="0" fontId="21" fillId="2" borderId="0" xfId="0" applyNumberFormat="1" applyFont="1" applyFill="1" applyAlignment="1"/>
    <xf numFmtId="0" fontId="22" fillId="2" borderId="5" xfId="0" applyNumberFormat="1" applyFont="1" applyFill="1" applyBorder="1" applyAlignment="1"/>
    <xf numFmtId="0" fontId="22" fillId="2" borderId="0" xfId="0" applyNumberFormat="1" applyFont="1" applyFill="1" applyAlignment="1"/>
    <xf numFmtId="0" fontId="20" fillId="2" borderId="0" xfId="0" applyNumberFormat="1" applyFont="1" applyFill="1" applyAlignment="1">
      <alignment horizontal="right"/>
    </xf>
    <xf numFmtId="4" fontId="20" fillId="2" borderId="0" xfId="0" applyNumberFormat="1" applyFont="1" applyFill="1" applyAlignment="1" applyProtection="1">
      <alignment horizontal="right"/>
      <protection locked="0"/>
    </xf>
    <xf numFmtId="0" fontId="20" fillId="2" borderId="5" xfId="0" applyNumberFormat="1" applyFont="1" applyFill="1" applyBorder="1" applyAlignment="1"/>
    <xf numFmtId="0" fontId="24" fillId="2" borderId="5" xfId="0" applyNumberFormat="1" applyFont="1" applyFill="1" applyBorder="1" applyAlignment="1"/>
    <xf numFmtId="164" fontId="25" fillId="2" borderId="5" xfId="0" applyNumberFormat="1" applyFont="1" applyFill="1" applyBorder="1" applyAlignment="1">
      <alignment horizontal="center"/>
    </xf>
    <xf numFmtId="164" fontId="25" fillId="2" borderId="5" xfId="0" applyNumberFormat="1" applyFont="1" applyFill="1" applyBorder="1" applyAlignment="1"/>
    <xf numFmtId="165" fontId="25" fillId="2" borderId="5" xfId="0" applyNumberFormat="1" applyFont="1" applyFill="1" applyBorder="1" applyAlignment="1">
      <alignment horizontal="center"/>
    </xf>
    <xf numFmtId="4" fontId="14" fillId="2" borderId="5" xfId="0" applyNumberFormat="1" applyFont="1" applyFill="1" applyBorder="1" applyAlignment="1">
      <alignment horizontal="center"/>
    </xf>
    <xf numFmtId="10" fontId="2" fillId="2" borderId="5" xfId="0" applyNumberFormat="1" applyFont="1" applyFill="1" applyBorder="1" applyAlignment="1"/>
    <xf numFmtId="1" fontId="2" fillId="2" borderId="5" xfId="0" applyNumberFormat="1" applyFont="1" applyFill="1" applyBorder="1" applyAlignment="1">
      <alignment horizontal="right"/>
    </xf>
    <xf numFmtId="10" fontId="26" fillId="2" borderId="5" xfId="0" applyNumberFormat="1" applyFont="1" applyFill="1" applyBorder="1" applyAlignment="1">
      <alignment horizontal="center"/>
    </xf>
    <xf numFmtId="169" fontId="14" fillId="2" borderId="5" xfId="0" applyNumberFormat="1" applyFont="1" applyFill="1" applyBorder="1" applyAlignment="1">
      <alignment horizontal="center"/>
    </xf>
    <xf numFmtId="0" fontId="2" fillId="2" borderId="4" xfId="0" applyNumberFormat="1" applyFont="1" applyFill="1" applyBorder="1" applyAlignment="1">
      <alignment horizontal="right"/>
    </xf>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0" fontId="27" fillId="2" borderId="0" xfId="0" applyNumberFormat="1" applyFont="1" applyFill="1" applyAlignment="1"/>
    <xf numFmtId="0" fontId="27" fillId="2" borderId="5" xfId="0" applyNumberFormat="1" applyFont="1" applyFill="1" applyBorder="1" applyAlignment="1"/>
    <xf numFmtId="0" fontId="28" fillId="2" borderId="0" xfId="1" applyNumberFormat="1" applyFont="1" applyFill="1" applyAlignment="1" applyProtection="1"/>
    <xf numFmtId="10" fontId="28" fillId="2" borderId="5" xfId="1" applyNumberFormat="1" applyFont="1" applyFill="1" applyBorder="1" applyAlignment="1">
      <alignment horizontal="left"/>
      <protection locked="0"/>
    </xf>
    <xf numFmtId="10" fontId="29" fillId="2" borderId="5" xfId="1" applyNumberFormat="1" applyFont="1" applyFill="1" applyBorder="1" applyAlignment="1">
      <alignment horizontal="left"/>
      <protection locked="0"/>
    </xf>
    <xf numFmtId="0" fontId="29" fillId="2" borderId="0" xfId="1" applyNumberFormat="1" applyFont="1" applyFill="1" applyAlignment="1" applyProtection="1"/>
    <xf numFmtId="3" fontId="2" fillId="2" borderId="5" xfId="0" applyNumberFormat="1" applyFont="1" applyFill="1" applyBorder="1" applyAlignment="1">
      <alignment horizontal="right"/>
    </xf>
    <xf numFmtId="14" fontId="11" fillId="2" borderId="0" xfId="0" applyNumberFormat="1" applyFont="1" applyFill="1" applyAlignment="1"/>
    <xf numFmtId="0" fontId="11" fillId="2" borderId="0" xfId="0" applyNumberFormat="1" applyFont="1" applyFill="1" applyAlignment="1">
      <alignment horizontal="right"/>
    </xf>
    <xf numFmtId="10" fontId="1" fillId="0" borderId="0" xfId="0" applyNumberFormat="1" applyFont="1" applyAlignment="1"/>
    <xf numFmtId="3" fontId="2" fillId="2" borderId="5" xfId="0" applyNumberFormat="1" applyFont="1" applyFill="1" applyBorder="1" applyAlignment="1" applyProtection="1">
      <alignment horizontal="center"/>
      <protection locked="0"/>
    </xf>
    <xf numFmtId="0" fontId="10" fillId="2" borderId="0" xfId="0" quotePrefix="1" applyNumberFormat="1" applyFont="1" applyFill="1"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pplyProtection="1">
      <protection locked="0"/>
    </xf>
    <xf numFmtId="3" fontId="1" fillId="2" borderId="0" xfId="0" applyNumberFormat="1" applyFont="1" applyFill="1" applyAlignment="1"/>
    <xf numFmtId="0" fontId="2" fillId="3" borderId="1" xfId="0" applyNumberFormat="1" applyFont="1" applyFill="1" applyBorder="1" applyAlignment="1"/>
    <xf numFmtId="0" fontId="4" fillId="3" borderId="2"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20" fillId="3" borderId="0" xfId="0" applyNumberFormat="1" applyFont="1" applyFill="1" applyAlignment="1"/>
    <xf numFmtId="0" fontId="7" fillId="3" borderId="0" xfId="0" applyNumberFormat="1" applyFont="1" applyFill="1" applyAlignment="1"/>
    <xf numFmtId="0" fontId="8" fillId="3" borderId="0" xfId="0" applyNumberFormat="1" applyFont="1" applyFill="1" applyAlignment="1"/>
    <xf numFmtId="0" fontId="1" fillId="3" borderId="0" xfId="0" applyNumberFormat="1" applyFont="1" applyFill="1" applyAlignment="1"/>
    <xf numFmtId="0" fontId="27" fillId="3" borderId="0" xfId="0" applyNumberFormat="1" applyFont="1" applyFill="1" applyAlignment="1"/>
    <xf numFmtId="0" fontId="29" fillId="3" borderId="0" xfId="1" applyNumberFormat="1" applyFont="1" applyFill="1" applyAlignment="1" applyProtection="1"/>
    <xf numFmtId="0" fontId="10" fillId="3" borderId="0" xfId="0" applyNumberFormat="1" applyFont="1" applyFill="1" applyAlignment="1"/>
    <xf numFmtId="0" fontId="12" fillId="3" borderId="0" xfId="0" applyNumberFormat="1" applyFont="1" applyFill="1" applyAlignment="1"/>
    <xf numFmtId="0" fontId="4" fillId="3" borderId="0" xfId="0" applyNumberFormat="1" applyFont="1" applyFill="1" applyAlignment="1"/>
    <xf numFmtId="0" fontId="2" fillId="3" borderId="0" xfId="0" applyNumberFormat="1" applyFont="1" applyFill="1" applyAlignment="1">
      <alignment horizontal="right"/>
    </xf>
    <xf numFmtId="15" fontId="14" fillId="3" borderId="0" xfId="0" applyNumberFormat="1" applyFont="1" applyFill="1" applyAlignment="1" applyProtection="1">
      <alignment horizontal="center"/>
      <protection locked="0"/>
    </xf>
    <xf numFmtId="15" fontId="14" fillId="3" borderId="0" xfId="0" applyNumberFormat="1" applyFont="1" applyFill="1" applyAlignment="1">
      <alignment horizontal="center"/>
    </xf>
    <xf numFmtId="0" fontId="2" fillId="3" borderId="6" xfId="0" applyNumberFormat="1" applyFont="1" applyFill="1" applyBorder="1" applyAlignment="1"/>
    <xf numFmtId="0" fontId="2" fillId="3" borderId="7" xfId="0" applyNumberFormat="1" applyFont="1" applyFill="1" applyBorder="1" applyAlignment="1"/>
    <xf numFmtId="0" fontId="2" fillId="3" borderId="7" xfId="0" applyNumberFormat="1" applyFont="1" applyFill="1" applyBorder="1" applyAlignment="1" applyProtection="1">
      <alignment horizontal="right"/>
      <protection locked="0"/>
    </xf>
    <xf numFmtId="0" fontId="2" fillId="3" borderId="8"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20" fillId="3" borderId="0" xfId="0" applyNumberFormat="1" applyFont="1" applyFill="1" applyAlignment="1">
      <alignment horizontal="left" vertical="top" wrapText="1"/>
    </xf>
    <xf numFmtId="0" fontId="20" fillId="3" borderId="0" xfId="0" applyNumberFormat="1" applyFont="1" applyFill="1" applyAlignment="1">
      <alignment horizontal="center" vertical="top" wrapText="1"/>
    </xf>
    <xf numFmtId="4" fontId="20" fillId="3" borderId="0" xfId="0" applyNumberFormat="1" applyFont="1" applyFill="1" applyAlignment="1" applyProtection="1">
      <alignment horizontal="center" vertical="top" wrapText="1"/>
      <protection locked="0"/>
    </xf>
    <xf numFmtId="0" fontId="21" fillId="3" borderId="0" xfId="0" applyNumberFormat="1" applyFont="1" applyFill="1" applyAlignment="1"/>
    <xf numFmtId="3" fontId="2" fillId="3" borderId="0" xfId="0" applyNumberFormat="1" applyFont="1" applyFill="1" applyAlignment="1"/>
    <xf numFmtId="3" fontId="14" fillId="3" borderId="0" xfId="0" applyNumberFormat="1" applyFont="1" applyFill="1" applyAlignment="1"/>
    <xf numFmtId="0" fontId="22" fillId="3" borderId="0" xfId="0" applyNumberFormat="1" applyFont="1" applyFill="1" applyAlignment="1"/>
    <xf numFmtId="4" fontId="14" fillId="3" borderId="0" xfId="0" applyNumberFormat="1" applyFont="1" applyFill="1" applyAlignment="1" applyProtection="1">
      <alignment horizontal="right"/>
      <protection locked="0"/>
    </xf>
    <xf numFmtId="0" fontId="20" fillId="3" borderId="0" xfId="0" applyNumberFormat="1" applyFont="1" applyFill="1" applyAlignment="1">
      <alignment horizontal="right"/>
    </xf>
    <xf numFmtId="4" fontId="20"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 fillId="3" borderId="7" xfId="0" applyNumberFormat="1" applyFont="1" applyFill="1" applyBorder="1" applyAlignment="1"/>
    <xf numFmtId="0" fontId="1" fillId="3" borderId="8" xfId="0" applyNumberFormat="1" applyFont="1" applyFill="1" applyBorder="1" applyAlignment="1"/>
    <xf numFmtId="0" fontId="14" fillId="3" borderId="3" xfId="0" applyNumberFormat="1" applyFont="1" applyFill="1" applyBorder="1" applyAlignment="1"/>
    <xf numFmtId="0" fontId="18" fillId="3" borderId="0" xfId="0" applyNumberFormat="1" applyFont="1" applyFill="1" applyAlignment="1"/>
    <xf numFmtId="15" fontId="17" fillId="3" borderId="0" xfId="0" applyNumberFormat="1" applyFont="1" applyFill="1" applyAlignment="1">
      <alignment horizontal="centerContinuous"/>
    </xf>
    <xf numFmtId="15" fontId="17" fillId="3" borderId="0" xfId="0" applyNumberFormat="1" applyFont="1" applyFill="1" applyAlignment="1">
      <alignment horizontal="center"/>
    </xf>
    <xf numFmtId="0" fontId="14" fillId="3" borderId="4" xfId="0" applyNumberFormat="1" applyFont="1" applyFill="1" applyBorder="1" applyAlignment="1">
      <alignment horizontal="right"/>
    </xf>
    <xf numFmtId="0" fontId="30" fillId="3" borderId="2" xfId="0" applyNumberFormat="1" applyFont="1" applyFill="1" applyBorder="1" applyAlignment="1"/>
    <xf numFmtId="0" fontId="31" fillId="3" borderId="0" xfId="0" applyNumberFormat="1" applyFont="1" applyFill="1" applyAlignment="1"/>
    <xf numFmtId="0" fontId="32" fillId="3" borderId="0" xfId="0" applyNumberFormat="1" applyFont="1" applyFill="1" applyAlignment="1"/>
    <xf numFmtId="0" fontId="33" fillId="3" borderId="0" xfId="0" applyNumberFormat="1" applyFont="1" applyFill="1" applyAlignment="1"/>
    <xf numFmtId="0" fontId="34" fillId="3" borderId="0" xfId="0" applyNumberFormat="1" applyFont="1" applyFill="1" applyAlignment="1">
      <alignment horizontal="center" wrapText="1"/>
    </xf>
    <xf numFmtId="0" fontId="32" fillId="3" borderId="0" xfId="0" applyNumberFormat="1" applyFont="1" applyFill="1" applyAlignment="1">
      <alignment horizontal="center"/>
    </xf>
    <xf numFmtId="9" fontId="32" fillId="3" borderId="0" xfId="0" applyNumberFormat="1" applyFont="1" applyFill="1" applyAlignment="1">
      <alignment horizontal="center"/>
    </xf>
    <xf numFmtId="15" fontId="32" fillId="3" borderId="0" xfId="0" applyNumberFormat="1" applyFont="1" applyFill="1" applyAlignment="1">
      <alignment horizontal="center"/>
    </xf>
    <xf numFmtId="0" fontId="33" fillId="3" borderId="0" xfId="0" applyNumberFormat="1" applyFont="1" applyFill="1" applyAlignment="1">
      <alignment horizontal="center"/>
    </xf>
    <xf numFmtId="0" fontId="34" fillId="3" borderId="0" xfId="0" applyNumberFormat="1" applyFont="1" applyFill="1" applyAlignment="1"/>
    <xf numFmtId="0" fontId="35" fillId="3" borderId="0" xfId="0" applyNumberFormat="1" applyFont="1" applyFill="1" applyAlignment="1"/>
    <xf numFmtId="0" fontId="33" fillId="3" borderId="5" xfId="0" applyNumberFormat="1" applyFont="1" applyFill="1" applyBorder="1" applyAlignment="1"/>
    <xf numFmtId="0" fontId="32" fillId="3" borderId="5" xfId="0" applyNumberFormat="1" applyFont="1" applyFill="1" applyBorder="1" applyAlignment="1"/>
    <xf numFmtId="0" fontId="36" fillId="3" borderId="7" xfId="0" applyNumberFormat="1" applyFont="1" applyFill="1" applyBorder="1" applyAlignment="1"/>
    <xf numFmtId="3" fontId="33" fillId="3" borderId="5" xfId="0" applyNumberFormat="1" applyFont="1" applyFill="1" applyBorder="1" applyAlignment="1"/>
    <xf numFmtId="3" fontId="33" fillId="3" borderId="5" xfId="0" applyNumberFormat="1" applyFont="1" applyFill="1" applyBorder="1" applyAlignment="1" applyProtection="1">
      <alignment horizontal="right"/>
      <protection locked="0"/>
    </xf>
    <xf numFmtId="0" fontId="32" fillId="3" borderId="0" xfId="0" applyNumberFormat="1" applyFont="1" applyFill="1" applyAlignment="1">
      <alignment horizontal="right"/>
    </xf>
    <xf numFmtId="14" fontId="32" fillId="3" borderId="0" xfId="0" applyNumberFormat="1" applyFont="1" applyFill="1" applyAlignment="1"/>
    <xf numFmtId="0" fontId="33" fillId="3" borderId="4" xfId="0" applyNumberFormat="1" applyFont="1" applyFill="1" applyBorder="1" applyAlignment="1"/>
    <xf numFmtId="4" fontId="33" fillId="3" borderId="0" xfId="0" applyNumberFormat="1" applyFont="1" applyFill="1" applyAlignment="1" applyProtection="1">
      <alignment horizontal="right"/>
      <protection locked="0"/>
    </xf>
    <xf numFmtId="0" fontId="33" fillId="3" borderId="7" xfId="0" applyNumberFormat="1" applyFont="1" applyFill="1" applyBorder="1" applyAlignment="1"/>
    <xf numFmtId="4" fontId="33" fillId="3" borderId="7" xfId="0" applyNumberFormat="1" applyFont="1" applyFill="1" applyBorder="1" applyAlignment="1" applyProtection="1">
      <alignment horizontal="right"/>
      <protection locked="0"/>
    </xf>
    <xf numFmtId="0" fontId="33" fillId="3" borderId="5" xfId="0" applyNumberFormat="1" applyFont="1" applyFill="1" applyBorder="1" applyAlignment="1" applyProtection="1">
      <protection locked="0"/>
    </xf>
    <xf numFmtId="3" fontId="33" fillId="3" borderId="5" xfId="0" applyNumberFormat="1" applyFont="1" applyFill="1" applyBorder="1" applyAlignment="1" applyProtection="1">
      <protection locked="0"/>
    </xf>
    <xf numFmtId="3" fontId="32" fillId="3" borderId="5" xfId="0" applyNumberFormat="1" applyFont="1" applyFill="1" applyBorder="1" applyAlignment="1"/>
    <xf numFmtId="167" fontId="33" fillId="3" borderId="5" xfId="0" applyNumberFormat="1" applyFont="1" applyFill="1" applyBorder="1" applyAlignment="1"/>
    <xf numFmtId="10" fontId="33" fillId="3" borderId="5" xfId="0" applyNumberFormat="1" applyFont="1" applyFill="1" applyBorder="1" applyAlignment="1"/>
    <xf numFmtId="0" fontId="35" fillId="3" borderId="3" xfId="0" applyNumberFormat="1" applyFont="1" applyFill="1" applyBorder="1" applyAlignment="1"/>
    <xf numFmtId="3" fontId="35" fillId="3" borderId="0" xfId="0" applyNumberFormat="1" applyFont="1" applyFill="1" applyAlignment="1"/>
    <xf numFmtId="0" fontId="32" fillId="3" borderId="0" xfId="0" quotePrefix="1" applyNumberFormat="1" applyFont="1" applyFill="1" applyAlignment="1">
      <alignment horizontal="center"/>
    </xf>
    <xf numFmtId="0" fontId="38" fillId="3" borderId="0" xfId="0" applyNumberFormat="1" applyFont="1" applyFill="1" applyAlignment="1"/>
    <xf numFmtId="0" fontId="36" fillId="3" borderId="0" xfId="0" applyNumberFormat="1" applyFont="1" applyFill="1" applyAlignment="1"/>
    <xf numFmtId="0" fontId="39" fillId="4" borderId="3" xfId="0" applyNumberFormat="1" applyFont="1" applyFill="1" applyBorder="1" applyAlignment="1"/>
    <xf numFmtId="0" fontId="40" fillId="4" borderId="0" xfId="0" applyNumberFormat="1" applyFont="1" applyFill="1" applyAlignment="1"/>
    <xf numFmtId="0" fontId="40" fillId="4" borderId="0" xfId="0" applyNumberFormat="1" applyFont="1" applyFill="1" applyAlignment="1">
      <alignment horizontal="center"/>
    </xf>
    <xf numFmtId="3" fontId="40" fillId="4" borderId="0" xfId="0" applyNumberFormat="1" applyFont="1" applyFill="1" applyAlignment="1">
      <alignment horizontal="center"/>
    </xf>
    <xf numFmtId="0" fontId="39" fillId="4" borderId="0" xfId="0" applyNumberFormat="1" applyFont="1" applyFill="1" applyAlignment="1"/>
    <xf numFmtId="0" fontId="39" fillId="4" borderId="3" xfId="0" applyNumberFormat="1" applyFont="1" applyFill="1" applyBorder="1" applyAlignment="1">
      <alignment horizontal="right"/>
    </xf>
    <xf numFmtId="0" fontId="39" fillId="4" borderId="1" xfId="0" applyNumberFormat="1" applyFont="1" applyFill="1" applyBorder="1" applyAlignment="1"/>
    <xf numFmtId="0" fontId="41" fillId="4" borderId="2" xfId="0" applyNumberFormat="1" applyFont="1" applyFill="1" applyBorder="1" applyAlignment="1"/>
    <xf numFmtId="15" fontId="40" fillId="4" borderId="2" xfId="0" applyNumberFormat="1" applyFont="1" applyFill="1" applyBorder="1" applyAlignment="1">
      <alignment horizontal="centerContinuous"/>
    </xf>
    <xf numFmtId="15" fontId="40" fillId="4" borderId="2" xfId="0" applyNumberFormat="1" applyFont="1" applyFill="1" applyBorder="1" applyAlignment="1">
      <alignment horizontal="center"/>
    </xf>
    <xf numFmtId="0" fontId="39" fillId="4" borderId="2" xfId="0" applyNumberFormat="1" applyFont="1" applyFill="1" applyBorder="1" applyAlignment="1"/>
    <xf numFmtId="0" fontId="40" fillId="4" borderId="2" xfId="0" applyNumberFormat="1" applyFont="1" applyFill="1" applyBorder="1" applyAlignment="1"/>
    <xf numFmtId="0" fontId="33" fillId="3" borderId="3" xfId="0" applyNumberFormat="1" applyFont="1" applyFill="1" applyBorder="1" applyAlignment="1"/>
    <xf numFmtId="0" fontId="33" fillId="3" borderId="0" xfId="0" applyNumberFormat="1" applyFont="1" applyFill="1" applyBorder="1" applyAlignment="1"/>
    <xf numFmtId="3" fontId="33" fillId="3" borderId="0" xfId="0" applyNumberFormat="1" applyFont="1" applyFill="1" applyBorder="1" applyAlignment="1"/>
    <xf numFmtId="9" fontId="33" fillId="3" borderId="0" xfId="0" applyNumberFormat="1" applyFont="1" applyFill="1" applyBorder="1" applyAlignment="1"/>
    <xf numFmtId="3" fontId="33" fillId="3" borderId="0" xfId="0" applyNumberFormat="1" applyFont="1" applyFill="1" applyBorder="1" applyAlignment="1" applyProtection="1">
      <alignment horizontal="right"/>
      <protection locked="0"/>
    </xf>
    <xf numFmtId="0" fontId="33" fillId="3" borderId="9" xfId="0" applyNumberFormat="1" applyFont="1" applyFill="1" applyBorder="1" applyAlignment="1"/>
    <xf numFmtId="3" fontId="33" fillId="3" borderId="10" xfId="0" applyNumberFormat="1" applyFont="1" applyFill="1" applyBorder="1" applyAlignment="1"/>
    <xf numFmtId="167" fontId="33" fillId="3" borderId="10" xfId="0" applyNumberFormat="1" applyFont="1" applyFill="1" applyBorder="1" applyAlignment="1"/>
    <xf numFmtId="0" fontId="33" fillId="3" borderId="10" xfId="0" applyNumberFormat="1" applyFont="1" applyFill="1" applyBorder="1" applyAlignment="1"/>
    <xf numFmtId="10" fontId="33" fillId="3" borderId="10" xfId="0" applyNumberFormat="1" applyFont="1" applyFill="1" applyBorder="1" applyAlignment="1"/>
    <xf numFmtId="3" fontId="33" fillId="3" borderId="10" xfId="0" applyNumberFormat="1" applyFont="1" applyFill="1" applyBorder="1" applyAlignment="1" applyProtection="1">
      <alignment horizontal="right"/>
      <protection locked="0"/>
    </xf>
    <xf numFmtId="0" fontId="33" fillId="3" borderId="10" xfId="0" applyNumberFormat="1" applyFont="1" applyFill="1" applyBorder="1" applyAlignment="1" applyProtection="1">
      <protection locked="0"/>
    </xf>
    <xf numFmtId="0" fontId="32" fillId="3" borderId="11" xfId="0" applyNumberFormat="1" applyFont="1" applyFill="1" applyBorder="1" applyAlignment="1"/>
    <xf numFmtId="3" fontId="32" fillId="3" borderId="11" xfId="0" applyNumberFormat="1" applyFont="1" applyFill="1" applyBorder="1" applyAlignment="1"/>
    <xf numFmtId="0" fontId="33" fillId="3" borderId="11" xfId="0" applyNumberFormat="1" applyFont="1" applyFill="1" applyBorder="1" applyAlignment="1"/>
    <xf numFmtId="0" fontId="14" fillId="3" borderId="3" xfId="0" applyNumberFormat="1" applyFont="1" applyFill="1" applyBorder="1" applyAlignment="1">
      <alignment horizontal="right"/>
    </xf>
    <xf numFmtId="0" fontId="14" fillId="3" borderId="0" xfId="0" applyNumberFormat="1" applyFont="1" applyFill="1" applyBorder="1" applyAlignment="1"/>
    <xf numFmtId="3" fontId="14" fillId="3" borderId="0" xfId="0" applyNumberFormat="1" applyFont="1" applyFill="1" applyBorder="1" applyAlignment="1"/>
    <xf numFmtId="9" fontId="14" fillId="3" borderId="0" xfId="0" applyNumberFormat="1" applyFont="1" applyFill="1" applyBorder="1" applyAlignment="1">
      <alignment horizontal="right"/>
    </xf>
    <xf numFmtId="0" fontId="14" fillId="3" borderId="0" xfId="0" applyNumberFormat="1" applyFont="1" applyFill="1" applyBorder="1" applyAlignment="1">
      <alignment horizontal="right"/>
    </xf>
    <xf numFmtId="4" fontId="14" fillId="3" borderId="0" xfId="0" applyNumberFormat="1" applyFont="1" applyFill="1" applyBorder="1" applyAlignment="1">
      <alignment horizontal="right"/>
    </xf>
    <xf numFmtId="0" fontId="2" fillId="3" borderId="0" xfId="0" applyNumberFormat="1" applyFont="1" applyFill="1" applyBorder="1" applyAlignment="1"/>
    <xf numFmtId="10" fontId="14" fillId="3" borderId="0" xfId="0" applyNumberFormat="1" applyFont="1" applyFill="1" applyBorder="1" applyAlignment="1" applyProtection="1">
      <alignment horizontal="center"/>
      <protection locked="0"/>
    </xf>
    <xf numFmtId="0" fontId="2" fillId="3" borderId="0" xfId="0" applyNumberFormat="1" applyFont="1" applyFill="1" applyBorder="1" applyAlignment="1" applyProtection="1">
      <protection locked="0"/>
    </xf>
    <xf numFmtId="0" fontId="17" fillId="3" borderId="0" xfId="0" applyNumberFormat="1" applyFont="1" applyFill="1" applyBorder="1" applyAlignment="1"/>
    <xf numFmtId="0" fontId="14" fillId="3" borderId="9" xfId="0" applyNumberFormat="1" applyFont="1" applyFill="1" applyBorder="1" applyAlignment="1">
      <alignment horizontal="right"/>
    </xf>
    <xf numFmtId="0" fontId="33" fillId="3" borderId="10" xfId="0" applyNumberFormat="1" applyFont="1" applyFill="1" applyBorder="1" applyAlignment="1">
      <alignment horizontal="center"/>
    </xf>
    <xf numFmtId="3" fontId="33" fillId="3" borderId="10" xfId="0" applyNumberFormat="1" applyFont="1" applyFill="1" applyBorder="1" applyAlignment="1" applyProtection="1">
      <alignment horizontal="center"/>
      <protection locked="0"/>
    </xf>
    <xf numFmtId="0" fontId="20" fillId="3" borderId="10" xfId="0" applyNumberFormat="1" applyFont="1" applyFill="1" applyBorder="1" applyAlignment="1"/>
    <xf numFmtId="3" fontId="14" fillId="3" borderId="10" xfId="0" applyNumberFormat="1" applyFont="1" applyFill="1" applyBorder="1" applyAlignment="1"/>
    <xf numFmtId="0" fontId="2" fillId="3" borderId="10" xfId="0" applyNumberFormat="1" applyFont="1" applyFill="1" applyBorder="1" applyAlignment="1"/>
    <xf numFmtId="0" fontId="2" fillId="3" borderId="10" xfId="0" applyNumberFormat="1" applyFont="1" applyFill="1" applyBorder="1" applyAlignment="1" applyProtection="1">
      <protection locked="0"/>
    </xf>
    <xf numFmtId="3" fontId="17" fillId="3" borderId="11" xfId="0" applyNumberFormat="1" applyFont="1" applyFill="1" applyBorder="1" applyAlignment="1"/>
    <xf numFmtId="0" fontId="14" fillId="3" borderId="9" xfId="0" applyNumberFormat="1" applyFont="1" applyFill="1" applyBorder="1" applyAlignment="1">
      <alignment horizontal="center"/>
    </xf>
    <xf numFmtId="0" fontId="14" fillId="3" borderId="10" xfId="0" applyNumberFormat="1" applyFont="1" applyFill="1" applyBorder="1" applyAlignment="1"/>
    <xf numFmtId="3" fontId="14" fillId="3" borderId="10" xfId="0" applyNumberFormat="1" applyFont="1" applyFill="1" applyBorder="1" applyAlignment="1" applyProtection="1">
      <alignment horizontal="center"/>
      <protection locked="0"/>
    </xf>
    <xf numFmtId="0" fontId="17" fillId="3" borderId="11" xfId="0" applyNumberFormat="1" applyFont="1" applyFill="1" applyBorder="1" applyAlignment="1"/>
    <xf numFmtId="0" fontId="37" fillId="3" borderId="10" xfId="0" applyNumberFormat="1" applyFont="1" applyFill="1" applyBorder="1" applyAlignment="1"/>
    <xf numFmtId="3" fontId="37" fillId="3" borderId="10" xfId="0" applyNumberFormat="1" applyFont="1" applyFill="1" applyBorder="1" applyAlignment="1"/>
    <xf numFmtId="3" fontId="37" fillId="3" borderId="10" xfId="0" applyNumberFormat="1" applyFont="1" applyFill="1" applyBorder="1" applyAlignment="1" applyProtection="1">
      <alignment horizontal="center"/>
      <protection locked="0"/>
    </xf>
    <xf numFmtId="0" fontId="33" fillId="3" borderId="10" xfId="0" applyNumberFormat="1" applyFont="1" applyFill="1" applyBorder="1" applyAlignment="1">
      <alignment horizontal="right"/>
    </xf>
    <xf numFmtId="4" fontId="33" fillId="3" borderId="10" xfId="0" applyNumberFormat="1" applyFont="1" applyFill="1" applyBorder="1" applyAlignment="1">
      <alignment horizontal="right"/>
    </xf>
    <xf numFmtId="4" fontId="33" fillId="3" borderId="10" xfId="0" applyNumberFormat="1" applyFont="1" applyFill="1" applyBorder="1" applyAlignment="1" applyProtection="1">
      <alignment horizontal="center"/>
      <protection locked="0"/>
    </xf>
    <xf numFmtId="9" fontId="14" fillId="3" borderId="10" xfId="0" applyNumberFormat="1" applyFont="1" applyFill="1" applyBorder="1" applyAlignment="1">
      <alignment horizontal="right"/>
    </xf>
    <xf numFmtId="0" fontId="14" fillId="3" borderId="10" xfId="0" applyNumberFormat="1" applyFont="1" applyFill="1" applyBorder="1" applyAlignment="1">
      <alignment horizontal="right"/>
    </xf>
    <xf numFmtId="4" fontId="14" fillId="3" borderId="10" xfId="0" applyNumberFormat="1" applyFont="1" applyFill="1" applyBorder="1" applyAlignment="1">
      <alignment horizontal="right"/>
    </xf>
    <xf numFmtId="10" fontId="14" fillId="3" borderId="10" xfId="0" applyNumberFormat="1" applyFont="1" applyFill="1" applyBorder="1" applyAlignment="1" applyProtection="1">
      <alignment horizontal="center"/>
      <protection locked="0"/>
    </xf>
    <xf numFmtId="0" fontId="27" fillId="3" borderId="10" xfId="0" applyNumberFormat="1" applyFont="1" applyFill="1" applyBorder="1" applyAlignment="1"/>
    <xf numFmtId="10" fontId="29" fillId="3" borderId="10" xfId="1" applyNumberFormat="1" applyFont="1" applyFill="1" applyBorder="1" applyAlignment="1">
      <alignment horizontal="left"/>
      <protection locked="0"/>
    </xf>
    <xf numFmtId="4" fontId="33" fillId="3" borderId="0" xfId="0" applyNumberFormat="1" applyFont="1" applyFill="1" applyBorder="1" applyAlignment="1" applyProtection="1">
      <alignment horizontal="right"/>
      <protection locked="0"/>
    </xf>
    <xf numFmtId="0" fontId="33" fillId="3" borderId="0" xfId="0" applyNumberFormat="1" applyFont="1" applyFill="1" applyBorder="1" applyAlignment="1" applyProtection="1">
      <protection locked="0"/>
    </xf>
    <xf numFmtId="0" fontId="14" fillId="3" borderId="9" xfId="0" applyNumberFormat="1" applyFont="1" applyFill="1" applyBorder="1" applyAlignment="1"/>
    <xf numFmtId="15" fontId="32" fillId="3" borderId="10" xfId="0" applyNumberFormat="1" applyFont="1" applyFill="1" applyBorder="1" applyAlignment="1">
      <alignment horizontal="centerContinuous"/>
    </xf>
    <xf numFmtId="15" fontId="32" fillId="3" borderId="10" xfId="0" applyNumberFormat="1" applyFont="1" applyFill="1" applyBorder="1" applyAlignment="1">
      <alignment horizontal="center"/>
    </xf>
    <xf numFmtId="10" fontId="33" fillId="3" borderId="10" xfId="0" applyNumberFormat="1" applyFont="1" applyFill="1" applyBorder="1" applyAlignment="1">
      <alignment horizontal="center"/>
    </xf>
    <xf numFmtId="169" fontId="33" fillId="3" borderId="10" xfId="0" applyNumberFormat="1" applyFont="1" applyFill="1" applyBorder="1" applyAlignment="1">
      <alignment horizontal="center"/>
    </xf>
    <xf numFmtId="4" fontId="33" fillId="3" borderId="10" xfId="0" applyNumberFormat="1" applyFont="1" applyFill="1" applyBorder="1" applyAlignment="1">
      <alignment horizontal="center"/>
    </xf>
    <xf numFmtId="0" fontId="2" fillId="3" borderId="9" xfId="0" applyNumberFormat="1" applyFont="1" applyFill="1" applyBorder="1" applyAlignment="1"/>
    <xf numFmtId="4" fontId="33" fillId="3" borderId="10" xfId="0" applyNumberFormat="1" applyFont="1" applyFill="1" applyBorder="1" applyAlignment="1" applyProtection="1">
      <alignment horizontal="right"/>
      <protection locked="0"/>
    </xf>
    <xf numFmtId="0" fontId="33" fillId="3" borderId="10" xfId="0" applyNumberFormat="1" applyFont="1" applyFill="1" applyBorder="1" applyAlignment="1" applyProtection="1">
      <alignment horizontal="right"/>
      <protection locked="0"/>
    </xf>
    <xf numFmtId="2" fontId="33" fillId="3" borderId="10" xfId="0" applyNumberFormat="1" applyFont="1" applyFill="1" applyBorder="1" applyAlignment="1" applyProtection="1">
      <alignment horizontal="right"/>
      <protection locked="0"/>
    </xf>
    <xf numFmtId="0" fontId="2" fillId="3" borderId="11" xfId="0" applyNumberFormat="1" applyFont="1" applyFill="1" applyBorder="1" applyAlignment="1"/>
    <xf numFmtId="4" fontId="2" fillId="3" borderId="0" xfId="0" applyNumberFormat="1" applyFont="1" applyFill="1" applyBorder="1" applyAlignment="1" applyProtection="1">
      <alignment horizontal="right"/>
      <protection locked="0"/>
    </xf>
    <xf numFmtId="3" fontId="33" fillId="3" borderId="10" xfId="0" applyNumberFormat="1" applyFont="1" applyFill="1" applyBorder="1" applyAlignment="1">
      <alignment horizontal="right"/>
    </xf>
    <xf numFmtId="0" fontId="2" fillId="3" borderId="12" xfId="0" applyNumberFormat="1" applyFont="1" applyFill="1" applyBorder="1" applyAlignment="1"/>
    <xf numFmtId="0" fontId="33" fillId="3" borderId="13" xfId="0" applyNumberFormat="1" applyFont="1" applyFill="1" applyBorder="1" applyAlignment="1"/>
    <xf numFmtId="0" fontId="32" fillId="3" borderId="13" xfId="0" applyNumberFormat="1" applyFont="1" applyFill="1" applyBorder="1" applyAlignment="1"/>
    <xf numFmtId="3" fontId="33" fillId="3" borderId="13" xfId="0" applyNumberFormat="1" applyFont="1" applyFill="1" applyBorder="1" applyAlignment="1" applyProtection="1">
      <alignment horizontal="right"/>
      <protection locked="0"/>
    </xf>
    <xf numFmtId="0" fontId="33" fillId="3" borderId="14" xfId="0" applyNumberFormat="1" applyFont="1" applyFill="1" applyBorder="1" applyAlignment="1"/>
    <xf numFmtId="0" fontId="32" fillId="3" borderId="10" xfId="0" applyNumberFormat="1" applyFont="1" applyFill="1" applyBorder="1" applyAlignment="1"/>
    <xf numFmtId="4" fontId="33" fillId="3" borderId="10" xfId="0" applyNumberFormat="1" applyFont="1" applyFill="1" applyBorder="1" applyAlignment="1"/>
    <xf numFmtId="0" fontId="35" fillId="3" borderId="10" xfId="0" applyNumberFormat="1" applyFont="1" applyFill="1" applyBorder="1" applyAlignment="1"/>
    <xf numFmtId="0" fontId="42" fillId="4" borderId="1" xfId="0" applyNumberFormat="1" applyFont="1" applyFill="1" applyBorder="1" applyAlignment="1"/>
    <xf numFmtId="0" fontId="42" fillId="4" borderId="2" xfId="0" applyNumberFormat="1" applyFont="1" applyFill="1" applyBorder="1" applyAlignment="1"/>
    <xf numFmtId="4" fontId="42" fillId="4" borderId="2" xfId="0" applyNumberFormat="1" applyFont="1" applyFill="1" applyBorder="1" applyAlignment="1" applyProtection="1">
      <alignment horizontal="right"/>
      <protection locked="0"/>
    </xf>
    <xf numFmtId="14" fontId="33" fillId="3" borderId="10" xfId="0" applyNumberFormat="1" applyFont="1" applyFill="1" applyBorder="1" applyAlignment="1">
      <alignment horizontal="right"/>
    </xf>
    <xf numFmtId="15" fontId="33" fillId="3" borderId="10" xfId="0" applyNumberFormat="1" applyFont="1" applyFill="1" applyBorder="1" applyAlignment="1"/>
    <xf numFmtId="0" fontId="22" fillId="3" borderId="10" xfId="0" applyNumberFormat="1" applyFont="1" applyFill="1" applyBorder="1" applyAlignment="1"/>
    <xf numFmtId="0" fontId="4" fillId="3" borderId="10" xfId="0" applyNumberFormat="1" applyFont="1" applyFill="1" applyBorder="1" applyAlignment="1"/>
    <xf numFmtId="3" fontId="2" fillId="3" borderId="10" xfId="0" applyNumberFormat="1" applyFont="1" applyFill="1" applyBorder="1" applyAlignment="1"/>
    <xf numFmtId="3" fontId="14" fillId="3" borderId="10" xfId="0" applyNumberFormat="1" applyFont="1" applyFill="1" applyBorder="1" applyAlignment="1" applyProtection="1">
      <alignment horizontal="right"/>
      <protection locked="0"/>
    </xf>
    <xf numFmtId="0" fontId="33" fillId="3" borderId="9" xfId="0" applyNumberFormat="1" applyFont="1" applyFill="1" applyBorder="1" applyAlignment="1">
      <alignment horizontal="right"/>
    </xf>
    <xf numFmtId="4" fontId="14" fillId="3" borderId="10" xfId="0" applyNumberFormat="1" applyFont="1" applyFill="1" applyBorder="1" applyAlignment="1" applyProtection="1">
      <alignment horizontal="right"/>
      <protection locked="0"/>
    </xf>
    <xf numFmtId="0" fontId="34" fillId="3" borderId="10" xfId="0" applyNumberFormat="1" applyFont="1" applyFill="1" applyBorder="1" applyAlignment="1"/>
    <xf numFmtId="3" fontId="2" fillId="3" borderId="0" xfId="0" applyNumberFormat="1" applyFont="1" applyFill="1" applyBorder="1" applyAlignment="1"/>
    <xf numFmtId="15" fontId="14" fillId="3" borderId="0" xfId="0" applyNumberFormat="1" applyFont="1" applyFill="1" applyBorder="1" applyAlignment="1" applyProtection="1">
      <alignment horizontal="center"/>
      <protection locked="0"/>
    </xf>
    <xf numFmtId="15" fontId="14" fillId="3" borderId="0" xfId="0" applyNumberFormat="1" applyFont="1" applyFill="1" applyBorder="1" applyAlignment="1">
      <alignment horizontal="center"/>
    </xf>
    <xf numFmtId="0" fontId="33" fillId="3" borderId="10" xfId="0" applyNumberFormat="1" applyFont="1" applyFill="1" applyBorder="1" applyAlignment="1">
      <alignment horizontal="center" wrapText="1"/>
    </xf>
    <xf numFmtId="0" fontId="2" fillId="3" borderId="10" xfId="0" applyNumberFormat="1" applyFont="1" applyFill="1" applyBorder="1" applyAlignment="1">
      <alignment horizontal="center" wrapText="1"/>
    </xf>
    <xf numFmtId="0" fontId="1" fillId="3" borderId="10" xfId="0" applyNumberFormat="1" applyFont="1" applyFill="1" applyBorder="1" applyAlignment="1"/>
    <xf numFmtId="0" fontId="11" fillId="3" borderId="9" xfId="0" applyNumberFormat="1" applyFont="1" applyFill="1" applyBorder="1" applyAlignment="1"/>
    <xf numFmtId="0" fontId="32" fillId="3" borderId="10" xfId="0" applyNumberFormat="1" applyFont="1" applyFill="1" applyBorder="1" applyAlignment="1">
      <alignment horizontal="center" wrapText="1"/>
    </xf>
    <xf numFmtId="0" fontId="11" fillId="3" borderId="10" xfId="0" applyNumberFormat="1" applyFont="1" applyFill="1" applyBorder="1" applyAlignment="1">
      <alignment horizontal="center" wrapText="1"/>
    </xf>
    <xf numFmtId="0" fontId="2" fillId="3" borderId="10" xfId="0" applyNumberFormat="1" applyFont="1" applyFill="1" applyBorder="1" applyAlignment="1">
      <alignment horizontal="center"/>
    </xf>
    <xf numFmtId="164" fontId="33" fillId="3" borderId="10" xfId="0" applyNumberFormat="1" applyFont="1" applyFill="1" applyBorder="1" applyAlignment="1">
      <alignment horizontal="center"/>
    </xf>
    <xf numFmtId="164" fontId="33" fillId="3" borderId="10" xfId="0" applyNumberFormat="1" applyFont="1" applyFill="1" applyBorder="1" applyAlignment="1"/>
    <xf numFmtId="164" fontId="2" fillId="3" borderId="10" xfId="0" applyNumberFormat="1" applyFont="1" applyFill="1" applyBorder="1" applyAlignment="1">
      <alignment horizontal="center"/>
    </xf>
    <xf numFmtId="164" fontId="1" fillId="3" borderId="10" xfId="0" applyNumberFormat="1" applyFont="1" applyFill="1" applyBorder="1" applyAlignment="1"/>
    <xf numFmtId="3" fontId="2" fillId="3" borderId="11" xfId="0" applyNumberFormat="1" applyFont="1" applyFill="1" applyBorder="1" applyAlignment="1"/>
    <xf numFmtId="164" fontId="32" fillId="3" borderId="10" xfId="0" applyNumberFormat="1" applyFont="1" applyFill="1" applyBorder="1" applyAlignment="1">
      <alignment horizontal="center"/>
    </xf>
    <xf numFmtId="164" fontId="32" fillId="3" borderId="10" xfId="0" applyNumberFormat="1" applyFont="1" applyFill="1" applyBorder="1" applyAlignment="1"/>
    <xf numFmtId="164" fontId="11" fillId="3" borderId="10" xfId="0" applyNumberFormat="1" applyFont="1" applyFill="1" applyBorder="1" applyAlignment="1">
      <alignment horizontal="center"/>
    </xf>
    <xf numFmtId="164" fontId="15" fillId="3" borderId="10" xfId="0" applyNumberFormat="1" applyFont="1" applyFill="1" applyBorder="1" applyAlignment="1"/>
    <xf numFmtId="165" fontId="25" fillId="3" borderId="10" xfId="0" applyNumberFormat="1" applyFont="1" applyFill="1" applyBorder="1" applyAlignment="1">
      <alignment horizontal="center"/>
    </xf>
    <xf numFmtId="164" fontId="25" fillId="3" borderId="10" xfId="0" applyNumberFormat="1" applyFont="1" applyFill="1" applyBorder="1" applyAlignment="1"/>
    <xf numFmtId="164" fontId="25" fillId="3" borderId="10" xfId="0" applyNumberFormat="1" applyFont="1" applyFill="1" applyBorder="1" applyAlignment="1">
      <alignment horizontal="center"/>
    </xf>
    <xf numFmtId="166" fontId="33" fillId="3" borderId="10" xfId="0" applyNumberFormat="1" applyFont="1" applyFill="1" applyBorder="1" applyAlignment="1">
      <alignment horizontal="center"/>
    </xf>
    <xf numFmtId="168" fontId="33" fillId="3" borderId="10" xfId="0" applyNumberFormat="1" applyFont="1" applyFill="1" applyBorder="1" applyAlignment="1">
      <alignment horizontal="center"/>
    </xf>
    <xf numFmtId="166" fontId="33" fillId="3" borderId="10" xfId="0" applyNumberFormat="1" applyFont="1" applyFill="1" applyBorder="1" applyAlignment="1"/>
    <xf numFmtId="15" fontId="32" fillId="3" borderId="10" xfId="0" applyNumberFormat="1" applyFont="1" applyFill="1" applyBorder="1" applyAlignment="1" applyProtection="1">
      <alignment horizontal="center"/>
      <protection locked="0"/>
    </xf>
    <xf numFmtId="15" fontId="33" fillId="3" borderId="10" xfId="0" applyNumberFormat="1" applyFont="1" applyFill="1" applyBorder="1" applyAlignment="1" applyProtection="1">
      <alignment horizontal="center"/>
      <protection locked="0"/>
    </xf>
    <xf numFmtId="15" fontId="33" fillId="3" borderId="10" xfId="0" applyNumberFormat="1" applyFont="1" applyFill="1" applyBorder="1" applyAlignment="1">
      <alignment horizontal="center"/>
    </xf>
    <xf numFmtId="0" fontId="43" fillId="4" borderId="0" xfId="0" applyNumberFormat="1" applyFont="1" applyFill="1" applyAlignment="1">
      <alignment horizontal="center" wrapText="1"/>
    </xf>
    <xf numFmtId="0" fontId="44" fillId="4" borderId="0" xfId="0" applyNumberFormat="1" applyFont="1" applyFill="1" applyAlignment="1">
      <alignment horizontal="center" wrapText="1"/>
    </xf>
    <xf numFmtId="0" fontId="39" fillId="4" borderId="0" xfId="0" applyNumberFormat="1" applyFont="1" applyFill="1" applyAlignment="1">
      <alignment horizontal="center" wrapText="1"/>
    </xf>
    <xf numFmtId="0" fontId="45" fillId="4" borderId="0" xfId="0" applyNumberFormat="1" applyFont="1" applyFill="1" applyAlignment="1"/>
    <xf numFmtId="0" fontId="41" fillId="4" borderId="0" xfId="0" applyNumberFormat="1" applyFont="1" applyFill="1" applyAlignment="1"/>
    <xf numFmtId="4" fontId="39" fillId="4" borderId="0" xfId="0" applyNumberFormat="1" applyFont="1" applyFill="1" applyAlignment="1" applyProtection="1">
      <alignment horizontal="right"/>
      <protection locked="0"/>
    </xf>
    <xf numFmtId="3" fontId="33" fillId="3" borderId="5" xfId="0" applyNumberFormat="1" applyFont="1" applyFill="1" applyBorder="1" applyAlignment="1">
      <alignment horizontal="center"/>
    </xf>
    <xf numFmtId="3" fontId="33" fillId="3" borderId="5" xfId="0" applyNumberFormat="1" applyFont="1" applyFill="1" applyBorder="1" applyAlignment="1" applyProtection="1">
      <alignment horizontal="center"/>
      <protection locked="0"/>
    </xf>
    <xf numFmtId="0" fontId="40" fillId="4" borderId="0" xfId="0" applyNumberFormat="1" applyFont="1" applyFill="1" applyAlignment="1">
      <alignment horizontal="center" wrapText="1"/>
    </xf>
    <xf numFmtId="165" fontId="20" fillId="3" borderId="10" xfId="0" applyNumberFormat="1" applyFont="1" applyFill="1" applyBorder="1" applyAlignment="1">
      <alignment horizontal="center"/>
    </xf>
    <xf numFmtId="164" fontId="20" fillId="3" borderId="10" xfId="0" applyNumberFormat="1" applyFont="1" applyFill="1" applyBorder="1" applyAlignment="1"/>
    <xf numFmtId="164" fontId="20" fillId="3" borderId="10" xfId="0" applyNumberFormat="1" applyFont="1" applyFill="1" applyBorder="1" applyAlignment="1">
      <alignment horizontal="center"/>
    </xf>
    <xf numFmtId="3" fontId="33" fillId="3" borderId="10" xfId="0" applyNumberFormat="1" applyFont="1" applyFill="1" applyBorder="1" applyAlignment="1" applyProtection="1">
      <protection locked="0"/>
    </xf>
    <xf numFmtId="3" fontId="46" fillId="3" borderId="10" xfId="0" applyNumberFormat="1" applyFont="1" applyFill="1" applyBorder="1" applyAlignment="1" applyProtection="1">
      <alignment horizontal="center"/>
      <protection locked="0"/>
    </xf>
    <xf numFmtId="4" fontId="46" fillId="3" borderId="10" xfId="0" applyNumberFormat="1" applyFont="1" applyFill="1" applyBorder="1" applyAlignment="1" applyProtection="1">
      <alignment horizontal="center"/>
      <protection locked="0"/>
    </xf>
    <xf numFmtId="0" fontId="46" fillId="3" borderId="10" xfId="0" applyNumberFormat="1" applyFont="1" applyFill="1" applyBorder="1" applyAlignment="1">
      <alignment horizontal="center"/>
    </xf>
    <xf numFmtId="3" fontId="47" fillId="3" borderId="5" xfId="0" applyNumberFormat="1" applyFont="1" applyFill="1" applyBorder="1" applyAlignment="1">
      <alignment horizontal="center"/>
    </xf>
    <xf numFmtId="3" fontId="47" fillId="3" borderId="5" xfId="0" applyNumberFormat="1" applyFont="1" applyFill="1" applyBorder="1" applyAlignment="1" applyProtection="1">
      <alignment horizontal="center"/>
      <protection locked="0"/>
    </xf>
    <xf numFmtId="0" fontId="47" fillId="3" borderId="10" xfId="0" applyNumberFormat="1" applyFont="1" applyFill="1" applyBorder="1" applyAlignment="1">
      <alignment horizontal="center"/>
    </xf>
    <xf numFmtId="3" fontId="47" fillId="3" borderId="10" xfId="0" applyNumberFormat="1" applyFont="1" applyFill="1" applyBorder="1" applyAlignment="1" applyProtection="1">
      <alignment horizontal="center"/>
      <protection locked="0"/>
    </xf>
    <xf numFmtId="4" fontId="47" fillId="3" borderId="10" xfId="0" applyNumberFormat="1" applyFont="1" applyFill="1" applyBorder="1" applyAlignment="1" applyProtection="1">
      <alignment horizontal="center"/>
      <protection locked="0"/>
    </xf>
    <xf numFmtId="0" fontId="48" fillId="3" borderId="1" xfId="0" applyNumberFormat="1" applyFont="1" applyFill="1" applyBorder="1" applyAlignment="1"/>
    <xf numFmtId="0" fontId="49" fillId="3" borderId="2" xfId="0" applyNumberFormat="1" applyFont="1" applyFill="1" applyBorder="1" applyAlignment="1"/>
    <xf numFmtId="0" fontId="50" fillId="3" borderId="2" xfId="0" applyNumberFormat="1" applyFont="1" applyFill="1" applyBorder="1" applyAlignment="1"/>
    <xf numFmtId="0" fontId="48" fillId="3" borderId="2" xfId="0" applyNumberFormat="1" applyFont="1" applyFill="1" applyBorder="1" applyAlignment="1"/>
    <xf numFmtId="0" fontId="48" fillId="0" borderId="3" xfId="0" applyNumberFormat="1" applyFont="1" applyBorder="1"/>
    <xf numFmtId="0" fontId="48" fillId="0" borderId="0" xfId="0" applyNumberFormat="1" applyFont="1" applyAlignment="1"/>
    <xf numFmtId="0" fontId="48" fillId="3" borderId="3" xfId="0" applyNumberFormat="1" applyFont="1" applyFill="1" applyBorder="1" applyAlignment="1"/>
    <xf numFmtId="0" fontId="51" fillId="3" borderId="0" xfId="0" applyNumberFormat="1" applyFont="1" applyFill="1" applyAlignment="1"/>
    <xf numFmtId="0" fontId="48" fillId="3" borderId="0" xfId="0" applyNumberFormat="1" applyFont="1" applyFill="1" applyAlignment="1"/>
    <xf numFmtId="0" fontId="48" fillId="3" borderId="3" xfId="0" applyNumberFormat="1" applyFont="1" applyFill="1" applyBorder="1" applyAlignment="1">
      <alignment horizontal="center"/>
    </xf>
    <xf numFmtId="0" fontId="52" fillId="3" borderId="0" xfId="0" applyNumberFormat="1" applyFont="1" applyFill="1" applyAlignment="1"/>
    <xf numFmtId="0" fontId="53" fillId="3" borderId="0" xfId="0" applyNumberFormat="1" applyFont="1" applyFill="1" applyAlignment="1"/>
    <xf numFmtId="0" fontId="54" fillId="3" borderId="0" xfId="0" applyNumberFormat="1" applyFont="1" applyFill="1" applyAlignment="1"/>
    <xf numFmtId="0" fontId="55" fillId="3" borderId="0" xfId="0" applyNumberFormat="1" applyFont="1" applyFill="1" applyAlignment="1"/>
    <xf numFmtId="0" fontId="56" fillId="6" borderId="0" xfId="1" applyNumberFormat="1" applyFont="1" applyFill="1" applyAlignment="1" applyProtection="1"/>
    <xf numFmtId="0" fontId="57" fillId="3" borderId="0" xfId="0" applyNumberFormat="1" applyFont="1" applyFill="1" applyAlignment="1"/>
    <xf numFmtId="0" fontId="58" fillId="3" borderId="0" xfId="0" applyNumberFormat="1" applyFont="1" applyFill="1" applyAlignment="1"/>
    <xf numFmtId="0" fontId="59" fillId="3" borderId="0" xfId="0" applyNumberFormat="1" applyFont="1" applyFill="1" applyAlignment="1"/>
    <xf numFmtId="0" fontId="60" fillId="3" borderId="0" xfId="0" applyNumberFormat="1" applyFont="1" applyFill="1" applyAlignment="1"/>
    <xf numFmtId="0" fontId="60" fillId="3" borderId="2" xfId="0" applyNumberFormat="1" applyFont="1" applyFill="1" applyBorder="1" applyAlignment="1"/>
    <xf numFmtId="0" fontId="61" fillId="3" borderId="0" xfId="0" applyNumberFormat="1" applyFont="1" applyFill="1" applyAlignment="1">
      <alignment horizontal="center" wrapText="1"/>
    </xf>
    <xf numFmtId="0" fontId="59" fillId="3" borderId="0" xfId="0" applyNumberFormat="1" applyFont="1" applyFill="1" applyAlignment="1">
      <alignment horizontal="center"/>
    </xf>
    <xf numFmtId="9" fontId="59" fillId="3" borderId="0" xfId="0" applyNumberFormat="1" applyFont="1" applyFill="1" applyAlignment="1">
      <alignment horizontal="center"/>
    </xf>
    <xf numFmtId="15" fontId="59" fillId="3" borderId="0" xfId="0" applyNumberFormat="1" applyFont="1" applyFill="1" applyAlignment="1">
      <alignment horizontal="center"/>
    </xf>
    <xf numFmtId="0" fontId="60" fillId="3" borderId="0" xfId="0" applyNumberFormat="1" applyFont="1" applyFill="1" applyAlignment="1">
      <alignment horizontal="center"/>
    </xf>
    <xf numFmtId="0" fontId="61" fillId="3" borderId="0" xfId="0" applyNumberFormat="1" applyFont="1" applyFill="1" applyAlignment="1"/>
    <xf numFmtId="0" fontId="48" fillId="3" borderId="0" xfId="0" applyNumberFormat="1" applyFont="1" applyFill="1" applyAlignment="1">
      <alignment horizontal="right"/>
    </xf>
    <xf numFmtId="0" fontId="63" fillId="5" borderId="3" xfId="0" applyNumberFormat="1" applyFont="1" applyFill="1" applyBorder="1" applyAlignment="1"/>
    <xf numFmtId="0" fontId="63" fillId="5" borderId="0" xfId="0" applyNumberFormat="1" applyFont="1" applyFill="1" applyAlignment="1"/>
    <xf numFmtId="0" fontId="48" fillId="3" borderId="9" xfId="0" applyNumberFormat="1" applyFont="1" applyFill="1" applyBorder="1" applyAlignment="1"/>
    <xf numFmtId="0" fontId="60" fillId="3" borderId="10" xfId="0" applyNumberFormat="1" applyFont="1" applyFill="1" applyBorder="1" applyAlignment="1"/>
    <xf numFmtId="0" fontId="60" fillId="3" borderId="10" xfId="0" applyNumberFormat="1" applyFont="1" applyFill="1" applyBorder="1" applyAlignment="1">
      <alignment horizontal="center" wrapText="1"/>
    </xf>
    <xf numFmtId="0" fontId="48" fillId="3" borderId="10" xfId="0" applyNumberFormat="1" applyFont="1" applyFill="1" applyBorder="1" applyAlignment="1">
      <alignment horizontal="center" wrapText="1"/>
    </xf>
    <xf numFmtId="0" fontId="48" fillId="3" borderId="10" xfId="0" applyNumberFormat="1" applyFont="1" applyFill="1" applyBorder="1" applyAlignment="1"/>
    <xf numFmtId="0" fontId="48" fillId="3" borderId="11" xfId="0" applyNumberFormat="1" applyFont="1" applyFill="1" applyBorder="1" applyAlignment="1"/>
    <xf numFmtId="0" fontId="65" fillId="3" borderId="9" xfId="0" applyNumberFormat="1" applyFont="1" applyFill="1" applyBorder="1" applyAlignment="1"/>
    <xf numFmtId="0" fontId="59" fillId="3" borderId="10" xfId="0" applyNumberFormat="1" applyFont="1" applyFill="1" applyBorder="1" applyAlignment="1"/>
    <xf numFmtId="0" fontId="59" fillId="3" borderId="10" xfId="0" applyNumberFormat="1" applyFont="1" applyFill="1" applyBorder="1" applyAlignment="1">
      <alignment horizontal="center" wrapText="1"/>
    </xf>
    <xf numFmtId="0" fontId="65" fillId="3" borderId="10" xfId="0" applyNumberFormat="1" applyFont="1" applyFill="1" applyBorder="1" applyAlignment="1">
      <alignment horizontal="center" wrapText="1"/>
    </xf>
    <xf numFmtId="0" fontId="60" fillId="3" borderId="10" xfId="0" applyNumberFormat="1" applyFont="1" applyFill="1" applyBorder="1" applyAlignment="1">
      <alignment horizontal="center"/>
    </xf>
    <xf numFmtId="0" fontId="48" fillId="3" borderId="10" xfId="0" applyNumberFormat="1" applyFont="1" applyFill="1" applyBorder="1" applyAlignment="1">
      <alignment horizontal="center"/>
    </xf>
    <xf numFmtId="0" fontId="66" fillId="3" borderId="10" xfId="0" applyNumberFormat="1" applyFont="1" applyFill="1" applyBorder="1" applyAlignment="1"/>
    <xf numFmtId="0" fontId="66" fillId="3" borderId="10" xfId="0" applyNumberFormat="1" applyFont="1" applyFill="1" applyBorder="1" applyAlignment="1">
      <alignment horizontal="center" wrapText="1"/>
    </xf>
    <xf numFmtId="164" fontId="60" fillId="3" borderId="10" xfId="0" applyNumberFormat="1" applyFont="1" applyFill="1" applyBorder="1" applyAlignment="1">
      <alignment horizontal="center"/>
    </xf>
    <xf numFmtId="164" fontId="60" fillId="3" borderId="10" xfId="0" applyNumberFormat="1" applyFont="1" applyFill="1" applyBorder="1" applyAlignment="1"/>
    <xf numFmtId="3" fontId="48" fillId="3" borderId="11" xfId="0" applyNumberFormat="1" applyFont="1" applyFill="1" applyBorder="1" applyAlignment="1"/>
    <xf numFmtId="164" fontId="59" fillId="3" borderId="10" xfId="0" applyNumberFormat="1" applyFont="1" applyFill="1" applyBorder="1" applyAlignment="1">
      <alignment horizontal="center"/>
    </xf>
    <xf numFmtId="164" fontId="59" fillId="3" borderId="10" xfId="0" applyNumberFormat="1" applyFont="1" applyFill="1" applyBorder="1" applyAlignment="1"/>
    <xf numFmtId="0" fontId="52" fillId="3" borderId="10" xfId="0" applyNumberFormat="1" applyFont="1" applyFill="1" applyBorder="1" applyAlignment="1"/>
    <xf numFmtId="165" fontId="52" fillId="3" borderId="10" xfId="0" applyNumberFormat="1" applyFont="1" applyFill="1" applyBorder="1" applyAlignment="1">
      <alignment horizontal="center"/>
    </xf>
    <xf numFmtId="164" fontId="52" fillId="3" borderId="10" xfId="0" applyNumberFormat="1" applyFont="1" applyFill="1" applyBorder="1" applyAlignment="1"/>
    <xf numFmtId="164" fontId="67" fillId="3" borderId="10" xfId="0" applyNumberFormat="1" applyFont="1" applyFill="1" applyBorder="1" applyAlignment="1">
      <alignment horizontal="center"/>
    </xf>
    <xf numFmtId="164" fontId="65" fillId="3" borderId="10" xfId="0" applyNumberFormat="1" applyFont="1" applyFill="1" applyBorder="1" applyAlignment="1">
      <alignment horizontal="center"/>
    </xf>
    <xf numFmtId="164" fontId="65" fillId="3" borderId="10" xfId="0" applyNumberFormat="1" applyFont="1" applyFill="1" applyBorder="1" applyAlignment="1"/>
    <xf numFmtId="0" fontId="66" fillId="3" borderId="11" xfId="0" applyNumberFormat="1" applyFont="1" applyFill="1" applyBorder="1" applyAlignment="1"/>
    <xf numFmtId="166" fontId="60" fillId="3" borderId="10" xfId="0" applyNumberFormat="1" applyFont="1" applyFill="1" applyBorder="1" applyAlignment="1">
      <alignment horizontal="center"/>
    </xf>
    <xf numFmtId="10" fontId="60" fillId="3" borderId="10" xfId="0" applyNumberFormat="1" applyFont="1" applyFill="1" applyBorder="1" applyAlignment="1">
      <alignment horizontal="center"/>
    </xf>
    <xf numFmtId="168" fontId="60" fillId="3" borderId="10" xfId="0" applyNumberFormat="1" applyFont="1" applyFill="1" applyBorder="1" applyAlignment="1">
      <alignment horizontal="center"/>
    </xf>
    <xf numFmtId="0" fontId="60" fillId="3" borderId="10" xfId="0" applyNumberFormat="1" applyFont="1" applyFill="1" applyBorder="1" applyAlignment="1">
      <alignment horizontal="right"/>
    </xf>
    <xf numFmtId="166" fontId="60" fillId="3" borderId="10" xfId="0" applyNumberFormat="1" applyFont="1" applyFill="1" applyBorder="1" applyAlignment="1"/>
    <xf numFmtId="4" fontId="60" fillId="3" borderId="10" xfId="0" applyNumberFormat="1" applyFont="1" applyFill="1" applyBorder="1" applyAlignment="1">
      <alignment horizontal="center"/>
    </xf>
    <xf numFmtId="15" fontId="59" fillId="3" borderId="10" xfId="0" applyNumberFormat="1" applyFont="1" applyFill="1" applyBorder="1" applyAlignment="1">
      <alignment horizontal="center"/>
    </xf>
    <xf numFmtId="15" fontId="59" fillId="3" borderId="10" xfId="0" applyNumberFormat="1" applyFont="1" applyFill="1" applyBorder="1" applyAlignment="1" applyProtection="1">
      <alignment horizontal="center"/>
      <protection locked="0"/>
    </xf>
    <xf numFmtId="15" fontId="60" fillId="3" borderId="10" xfId="0" applyNumberFormat="1" applyFont="1" applyFill="1" applyBorder="1" applyAlignment="1" applyProtection="1">
      <alignment horizontal="center"/>
      <protection locked="0"/>
    </xf>
    <xf numFmtId="15" fontId="60" fillId="3" borderId="10" xfId="0" applyNumberFormat="1" applyFont="1" applyFill="1" applyBorder="1" applyAlignment="1">
      <alignment horizontal="center"/>
    </xf>
    <xf numFmtId="0" fontId="48" fillId="3" borderId="0" xfId="0" applyNumberFormat="1" applyFont="1" applyFill="1" applyBorder="1" applyAlignment="1"/>
    <xf numFmtId="15" fontId="68" fillId="3" borderId="0" xfId="0" applyNumberFormat="1" applyFont="1" applyFill="1" applyBorder="1" applyAlignment="1" applyProtection="1">
      <alignment horizontal="center"/>
      <protection locked="0"/>
    </xf>
    <xf numFmtId="15" fontId="68" fillId="3" borderId="0" xfId="0" applyNumberFormat="1" applyFont="1" applyFill="1" applyBorder="1" applyAlignment="1">
      <alignment horizontal="center"/>
    </xf>
    <xf numFmtId="15" fontId="68" fillId="3" borderId="0" xfId="0" applyNumberFormat="1" applyFont="1" applyFill="1" applyAlignment="1" applyProtection="1">
      <alignment horizontal="center"/>
      <protection locked="0"/>
    </xf>
    <xf numFmtId="15" fontId="68" fillId="3" borderId="0" xfId="0" applyNumberFormat="1" applyFont="1" applyFill="1" applyAlignment="1">
      <alignment horizontal="center"/>
    </xf>
    <xf numFmtId="0" fontId="48" fillId="3" borderId="6" xfId="0" applyNumberFormat="1" applyFont="1" applyFill="1" applyBorder="1" applyAlignment="1"/>
    <xf numFmtId="0" fontId="69" fillId="3" borderId="7" xfId="0" applyNumberFormat="1" applyFont="1" applyFill="1" applyBorder="1" applyAlignment="1"/>
    <xf numFmtId="0" fontId="48" fillId="3" borderId="7" xfId="0" applyNumberFormat="1" applyFont="1" applyFill="1" applyBorder="1" applyAlignment="1"/>
    <xf numFmtId="0" fontId="48" fillId="3" borderId="7" xfId="0" applyNumberFormat="1" applyFont="1" applyFill="1" applyBorder="1" applyAlignment="1" applyProtection="1">
      <alignment horizontal="right"/>
      <protection locked="0"/>
    </xf>
    <xf numFmtId="0" fontId="48" fillId="3" borderId="8" xfId="0" applyNumberFormat="1" applyFont="1" applyFill="1" applyBorder="1" applyAlignment="1"/>
    <xf numFmtId="0" fontId="70" fillId="5" borderId="0" xfId="0" applyNumberFormat="1" applyFont="1" applyFill="1" applyAlignment="1"/>
    <xf numFmtId="0" fontId="64" fillId="5" borderId="0" xfId="0" applyNumberFormat="1" applyFont="1" applyFill="1" applyAlignment="1"/>
    <xf numFmtId="4" fontId="63" fillId="5" borderId="0" xfId="0" applyNumberFormat="1" applyFont="1" applyFill="1" applyAlignment="1" applyProtection="1">
      <alignment horizontal="right"/>
      <protection locked="0"/>
    </xf>
    <xf numFmtId="4" fontId="48" fillId="3" borderId="0" xfId="0" applyNumberFormat="1" applyFont="1" applyFill="1" applyAlignment="1" applyProtection="1">
      <alignment horizontal="right"/>
      <protection locked="0"/>
    </xf>
    <xf numFmtId="0" fontId="52" fillId="3" borderId="0" xfId="0" applyNumberFormat="1" applyFont="1" applyFill="1" applyAlignment="1">
      <alignment horizontal="left" vertical="top" wrapText="1"/>
    </xf>
    <xf numFmtId="0" fontId="52" fillId="3" borderId="0" xfId="0" applyNumberFormat="1" applyFont="1" applyFill="1" applyAlignment="1">
      <alignment horizontal="center" vertical="top" wrapText="1"/>
    </xf>
    <xf numFmtId="4" fontId="52" fillId="3" borderId="0" xfId="0" applyNumberFormat="1" applyFont="1" applyFill="1" applyAlignment="1" applyProtection="1">
      <alignment horizontal="center" vertical="top" wrapText="1"/>
      <protection locked="0"/>
    </xf>
    <xf numFmtId="0" fontId="71" fillId="3" borderId="0" xfId="0" applyNumberFormat="1" applyFont="1" applyFill="1" applyAlignment="1"/>
    <xf numFmtId="3" fontId="60" fillId="3" borderId="10" xfId="0" applyNumberFormat="1" applyFont="1" applyFill="1" applyBorder="1" applyAlignment="1"/>
    <xf numFmtId="3" fontId="60" fillId="3" borderId="10" xfId="0" applyNumberFormat="1" applyFont="1" applyFill="1" applyBorder="1" applyAlignment="1" applyProtection="1">
      <alignment horizontal="right"/>
      <protection locked="0"/>
    </xf>
    <xf numFmtId="3" fontId="48" fillId="3" borderId="0" xfId="0" applyNumberFormat="1" applyFont="1" applyFill="1" applyBorder="1" applyAlignment="1"/>
    <xf numFmtId="3" fontId="68" fillId="3" borderId="0" xfId="0" applyNumberFormat="1" applyFont="1" applyFill="1" applyBorder="1" applyAlignment="1"/>
    <xf numFmtId="3" fontId="48" fillId="3" borderId="0" xfId="0" applyNumberFormat="1" applyFont="1" applyFill="1" applyAlignment="1"/>
    <xf numFmtId="3" fontId="68" fillId="3" borderId="0" xfId="0" applyNumberFormat="1" applyFont="1" applyFill="1" applyAlignment="1"/>
    <xf numFmtId="3" fontId="48" fillId="0" borderId="0" xfId="0" applyNumberFormat="1" applyFont="1" applyAlignment="1"/>
    <xf numFmtId="0" fontId="60" fillId="3" borderId="0" xfId="0" applyNumberFormat="1" applyFont="1" applyFill="1" applyBorder="1" applyAlignment="1"/>
    <xf numFmtId="3" fontId="60" fillId="3" borderId="0" xfId="0" applyNumberFormat="1" applyFont="1" applyFill="1" applyBorder="1" applyAlignment="1"/>
    <xf numFmtId="0" fontId="66" fillId="3" borderId="0" xfId="0" applyNumberFormat="1" applyFont="1" applyFill="1" applyBorder="1" applyAlignment="1"/>
    <xf numFmtId="0" fontId="66" fillId="3" borderId="0" xfId="0" applyNumberFormat="1" applyFont="1" applyFill="1" applyAlignment="1"/>
    <xf numFmtId="0" fontId="59" fillId="3" borderId="0" xfId="0" applyNumberFormat="1" applyFont="1" applyFill="1" applyAlignment="1">
      <alignment horizontal="right"/>
    </xf>
    <xf numFmtId="14" fontId="59" fillId="3" borderId="0" xfId="0" applyNumberFormat="1" applyFont="1" applyFill="1" applyAlignment="1"/>
    <xf numFmtId="0" fontId="60" fillId="3" borderId="9" xfId="0" applyNumberFormat="1" applyFont="1" applyFill="1" applyBorder="1" applyAlignment="1"/>
    <xf numFmtId="14" fontId="60" fillId="3" borderId="10" xfId="0" applyNumberFormat="1" applyFont="1" applyFill="1" applyBorder="1" applyAlignment="1">
      <alignment horizontal="right"/>
    </xf>
    <xf numFmtId="15" fontId="60" fillId="3" borderId="10" xfId="0" applyNumberFormat="1" applyFont="1" applyFill="1" applyBorder="1" applyAlignment="1"/>
    <xf numFmtId="10" fontId="48" fillId="0" borderId="0" xfId="0" applyNumberFormat="1" applyFont="1" applyAlignment="1"/>
    <xf numFmtId="0" fontId="61" fillId="3" borderId="10" xfId="0" applyNumberFormat="1" applyFont="1" applyFill="1" applyBorder="1" applyAlignment="1"/>
    <xf numFmtId="0" fontId="60" fillId="3" borderId="9" xfId="0" applyNumberFormat="1" applyFont="1" applyFill="1" applyBorder="1" applyAlignment="1">
      <alignment horizontal="right"/>
    </xf>
    <xf numFmtId="0" fontId="56" fillId="3" borderId="10" xfId="0" applyNumberFormat="1" applyFont="1" applyFill="1" applyBorder="1" applyAlignment="1"/>
    <xf numFmtId="0" fontId="50" fillId="3" borderId="10" xfId="0" applyNumberFormat="1" applyFont="1" applyFill="1" applyBorder="1" applyAlignment="1"/>
    <xf numFmtId="4" fontId="68" fillId="3" borderId="10" xfId="0" applyNumberFormat="1" applyFont="1" applyFill="1" applyBorder="1" applyAlignment="1" applyProtection="1">
      <alignment horizontal="right"/>
      <protection locked="0"/>
    </xf>
    <xf numFmtId="3" fontId="66" fillId="3" borderId="0" xfId="0" applyNumberFormat="1" applyFont="1" applyFill="1" applyBorder="1" applyAlignment="1"/>
    <xf numFmtId="4" fontId="66" fillId="3" borderId="0" xfId="0" applyNumberFormat="1" applyFont="1" applyFill="1" applyAlignment="1" applyProtection="1">
      <alignment horizontal="right"/>
      <protection locked="0"/>
    </xf>
    <xf numFmtId="0" fontId="66" fillId="3" borderId="7" xfId="0" applyNumberFormat="1" applyFont="1" applyFill="1" applyBorder="1" applyAlignment="1"/>
    <xf numFmtId="4" fontId="66" fillId="3" borderId="7" xfId="0" applyNumberFormat="1" applyFont="1" applyFill="1" applyBorder="1" applyAlignment="1" applyProtection="1">
      <alignment horizontal="right"/>
      <protection locked="0"/>
    </xf>
    <xf numFmtId="0" fontId="72" fillId="5" borderId="1" xfId="0" applyNumberFormat="1" applyFont="1" applyFill="1" applyBorder="1" applyAlignment="1"/>
    <xf numFmtId="0" fontId="64" fillId="5" borderId="2" xfId="0" applyNumberFormat="1" applyFont="1" applyFill="1" applyBorder="1" applyAlignment="1"/>
    <xf numFmtId="0" fontId="70" fillId="5" borderId="2" xfId="0" applyNumberFormat="1" applyFont="1" applyFill="1" applyBorder="1" applyAlignment="1"/>
    <xf numFmtId="0" fontId="72" fillId="5" borderId="2" xfId="0" applyNumberFormat="1" applyFont="1" applyFill="1" applyBorder="1" applyAlignment="1"/>
    <xf numFmtId="4" fontId="72" fillId="5" borderId="2" xfId="0" applyNumberFormat="1" applyFont="1" applyFill="1" applyBorder="1" applyAlignment="1" applyProtection="1">
      <alignment horizontal="right"/>
      <protection locked="0"/>
    </xf>
    <xf numFmtId="0" fontId="50" fillId="3" borderId="0" xfId="0" applyNumberFormat="1" applyFont="1" applyFill="1" applyAlignment="1"/>
    <xf numFmtId="0" fontId="56" fillId="3" borderId="0" xfId="0" applyNumberFormat="1" applyFont="1" applyFill="1" applyAlignment="1"/>
    <xf numFmtId="4" fontId="48" fillId="3" borderId="0" xfId="0" applyNumberFormat="1" applyFont="1" applyFill="1" applyBorder="1" applyAlignment="1" applyProtection="1">
      <alignment horizontal="right"/>
      <protection locked="0"/>
    </xf>
    <xf numFmtId="4" fontId="60" fillId="3" borderId="10" xfId="0" applyNumberFormat="1" applyFont="1" applyFill="1" applyBorder="1" applyAlignment="1"/>
    <xf numFmtId="4" fontId="60" fillId="3" borderId="10" xfId="0" applyNumberFormat="1" applyFont="1" applyFill="1" applyBorder="1" applyAlignment="1" applyProtection="1">
      <alignment horizontal="center"/>
      <protection locked="0"/>
    </xf>
    <xf numFmtId="4" fontId="68" fillId="3" borderId="0" xfId="0" applyNumberFormat="1" applyFont="1" applyFill="1" applyAlignment="1" applyProtection="1">
      <alignment horizontal="right"/>
      <protection locked="0"/>
    </xf>
    <xf numFmtId="4" fontId="48" fillId="3" borderId="2" xfId="0" applyNumberFormat="1" applyFont="1" applyFill="1" applyBorder="1" applyAlignment="1" applyProtection="1">
      <alignment horizontal="right"/>
      <protection locked="0"/>
    </xf>
    <xf numFmtId="0" fontId="48" fillId="3" borderId="12" xfId="0" applyNumberFormat="1" applyFont="1" applyFill="1" applyBorder="1" applyAlignment="1"/>
    <xf numFmtId="0" fontId="60" fillId="3" borderId="13" xfId="0" applyNumberFormat="1" applyFont="1" applyFill="1" applyBorder="1" applyAlignment="1"/>
    <xf numFmtId="0" fontId="59" fillId="3" borderId="13" xfId="0" applyNumberFormat="1" applyFont="1" applyFill="1" applyBorder="1" applyAlignment="1"/>
    <xf numFmtId="3" fontId="60" fillId="3" borderId="13" xfId="0" applyNumberFormat="1" applyFont="1" applyFill="1" applyBorder="1" applyAlignment="1" applyProtection="1">
      <alignment horizontal="right"/>
      <protection locked="0"/>
    </xf>
    <xf numFmtId="0" fontId="66" fillId="3" borderId="14" xfId="0" applyNumberFormat="1" applyFont="1" applyFill="1" applyBorder="1" applyAlignment="1"/>
    <xf numFmtId="0" fontId="67" fillId="3" borderId="0" xfId="0" applyNumberFormat="1" applyFont="1" applyFill="1" applyAlignment="1"/>
    <xf numFmtId="0" fontId="52" fillId="3" borderId="0" xfId="0" applyNumberFormat="1" applyFont="1" applyFill="1" applyAlignment="1">
      <alignment horizontal="right"/>
    </xf>
    <xf numFmtId="4" fontId="52" fillId="3" borderId="0" xfId="0" applyNumberFormat="1" applyFont="1" applyFill="1" applyAlignment="1" applyProtection="1">
      <alignment horizontal="right"/>
      <protection locked="0"/>
    </xf>
    <xf numFmtId="3" fontId="60" fillId="3" borderId="10" xfId="0" applyNumberFormat="1" applyFont="1" applyFill="1" applyBorder="1" applyAlignment="1">
      <alignment horizontal="right"/>
    </xf>
    <xf numFmtId="0" fontId="48" fillId="3" borderId="0" xfId="0" applyNumberFormat="1" applyFont="1" applyFill="1" applyAlignment="1" applyProtection="1">
      <protection locked="0"/>
    </xf>
    <xf numFmtId="4" fontId="60" fillId="3" borderId="10" xfId="0" applyNumberFormat="1" applyFont="1" applyFill="1" applyBorder="1" applyAlignment="1" applyProtection="1">
      <alignment horizontal="right"/>
      <protection locked="0"/>
    </xf>
    <xf numFmtId="0" fontId="60" fillId="3" borderId="10" xfId="0" applyNumberFormat="1" applyFont="1" applyFill="1" applyBorder="1" applyAlignment="1" applyProtection="1">
      <alignment horizontal="right"/>
      <protection locked="0"/>
    </xf>
    <xf numFmtId="2" fontId="60" fillId="3" borderId="10" xfId="0" applyNumberFormat="1" applyFont="1" applyFill="1" applyBorder="1" applyAlignment="1" applyProtection="1">
      <alignment horizontal="right"/>
      <protection locked="0"/>
    </xf>
    <xf numFmtId="0" fontId="63" fillId="5" borderId="1" xfId="0" applyNumberFormat="1" applyFont="1" applyFill="1" applyBorder="1" applyAlignment="1"/>
    <xf numFmtId="15" fontId="64" fillId="5" borderId="2" xfId="0" applyNumberFormat="1" applyFont="1" applyFill="1" applyBorder="1" applyAlignment="1">
      <alignment horizontal="centerContinuous"/>
    </xf>
    <xf numFmtId="15" fontId="64" fillId="5" borderId="2" xfId="0" applyNumberFormat="1" applyFont="1" applyFill="1" applyBorder="1" applyAlignment="1">
      <alignment horizontal="center"/>
    </xf>
    <xf numFmtId="0" fontId="63" fillId="5" borderId="2" xfId="0" applyNumberFormat="1" applyFont="1" applyFill="1" applyBorder="1" applyAlignment="1"/>
    <xf numFmtId="0" fontId="68" fillId="3" borderId="3" xfId="0" applyNumberFormat="1" applyFont="1" applyFill="1" applyBorder="1" applyAlignment="1"/>
    <xf numFmtId="0" fontId="74" fillId="3" borderId="0" xfId="0" applyNumberFormat="1" applyFont="1" applyFill="1" applyAlignment="1"/>
    <xf numFmtId="15" fontId="75" fillId="3" borderId="0" xfId="0" applyNumberFormat="1" applyFont="1" applyFill="1" applyAlignment="1">
      <alignment horizontal="centerContinuous"/>
    </xf>
    <xf numFmtId="15" fontId="75" fillId="3" borderId="0" xfId="0" applyNumberFormat="1" applyFont="1" applyFill="1" applyAlignment="1">
      <alignment horizontal="center"/>
    </xf>
    <xf numFmtId="0" fontId="68" fillId="3" borderId="9" xfId="0" applyNumberFormat="1" applyFont="1" applyFill="1" applyBorder="1" applyAlignment="1"/>
    <xf numFmtId="15" fontId="59" fillId="3" borderId="10" xfId="0" applyNumberFormat="1" applyFont="1" applyFill="1" applyBorder="1" applyAlignment="1">
      <alignment horizontal="centerContinuous"/>
    </xf>
    <xf numFmtId="169" fontId="60" fillId="3" borderId="10" xfId="0" applyNumberFormat="1" applyFont="1" applyFill="1" applyBorder="1" applyAlignment="1">
      <alignment horizontal="center"/>
    </xf>
    <xf numFmtId="4" fontId="66" fillId="3" borderId="0" xfId="0" applyNumberFormat="1" applyFont="1" applyFill="1" applyBorder="1" applyAlignment="1" applyProtection="1">
      <alignment horizontal="right"/>
      <protection locked="0"/>
    </xf>
    <xf numFmtId="0" fontId="66" fillId="3" borderId="0" xfId="0" applyNumberFormat="1" applyFont="1" applyFill="1" applyBorder="1" applyAlignment="1" applyProtection="1">
      <protection locked="0"/>
    </xf>
    <xf numFmtId="0" fontId="63" fillId="5" borderId="3" xfId="0" applyNumberFormat="1" applyFont="1" applyFill="1" applyBorder="1" applyAlignment="1">
      <alignment horizontal="right"/>
    </xf>
    <xf numFmtId="0" fontId="68" fillId="3" borderId="9" xfId="0" applyNumberFormat="1" applyFont="1" applyFill="1" applyBorder="1" applyAlignment="1">
      <alignment horizontal="right"/>
    </xf>
    <xf numFmtId="3" fontId="60" fillId="3" borderId="10" xfId="0" applyNumberFormat="1" applyFont="1" applyFill="1" applyBorder="1" applyAlignment="1" applyProtection="1">
      <alignment horizontal="center"/>
      <protection locked="0"/>
    </xf>
    <xf numFmtId="0" fontId="66" fillId="3" borderId="10" xfId="0" applyNumberFormat="1" applyFont="1" applyFill="1" applyBorder="1" applyAlignment="1" applyProtection="1">
      <protection locked="0"/>
    </xf>
    <xf numFmtId="3" fontId="76" fillId="3" borderId="11" xfId="0" applyNumberFormat="1" applyFont="1" applyFill="1" applyBorder="1" applyAlignment="1"/>
    <xf numFmtId="3" fontId="68" fillId="3" borderId="10" xfId="0" applyNumberFormat="1" applyFont="1" applyFill="1" applyBorder="1" applyAlignment="1"/>
    <xf numFmtId="0" fontId="48" fillId="3" borderId="10" xfId="0" applyNumberFormat="1" applyFont="1" applyFill="1" applyBorder="1" applyAlignment="1" applyProtection="1">
      <protection locked="0"/>
    </xf>
    <xf numFmtId="3" fontId="75" fillId="3" borderId="11" xfId="0" applyNumberFormat="1" applyFont="1" applyFill="1" applyBorder="1" applyAlignment="1"/>
    <xf numFmtId="0" fontId="68" fillId="3" borderId="9" xfId="0" applyNumberFormat="1" applyFont="1" applyFill="1" applyBorder="1" applyAlignment="1">
      <alignment horizontal="center"/>
    </xf>
    <xf numFmtId="0" fontId="68" fillId="3" borderId="10" xfId="0" applyNumberFormat="1" applyFont="1" applyFill="1" applyBorder="1" applyAlignment="1"/>
    <xf numFmtId="3" fontId="68" fillId="3" borderId="10" xfId="0" applyNumberFormat="1" applyFont="1" applyFill="1" applyBorder="1" applyAlignment="1" applyProtection="1">
      <alignment horizontal="center"/>
      <protection locked="0"/>
    </xf>
    <xf numFmtId="0" fontId="75" fillId="3" borderId="11" xfId="0" applyNumberFormat="1" applyFont="1" applyFill="1" applyBorder="1" applyAlignment="1"/>
    <xf numFmtId="4" fontId="60" fillId="3" borderId="10" xfId="0" applyNumberFormat="1" applyFont="1" applyFill="1" applyBorder="1" applyAlignment="1">
      <alignment horizontal="right"/>
    </xf>
    <xf numFmtId="9" fontId="68" fillId="3" borderId="10" xfId="0" applyNumberFormat="1" applyFont="1" applyFill="1" applyBorder="1" applyAlignment="1">
      <alignment horizontal="right"/>
    </xf>
    <xf numFmtId="0" fontId="68" fillId="3" borderId="10" xfId="0" applyNumberFormat="1" applyFont="1" applyFill="1" applyBorder="1" applyAlignment="1">
      <alignment horizontal="right"/>
    </xf>
    <xf numFmtId="4" fontId="68" fillId="3" borderId="10" xfId="0" applyNumberFormat="1" applyFont="1" applyFill="1" applyBorder="1" applyAlignment="1">
      <alignment horizontal="right"/>
    </xf>
    <xf numFmtId="10" fontId="68" fillId="3" borderId="10" xfId="0" applyNumberFormat="1" applyFont="1" applyFill="1" applyBorder="1" applyAlignment="1" applyProtection="1">
      <alignment horizontal="center"/>
      <protection locked="0"/>
    </xf>
    <xf numFmtId="0" fontId="55" fillId="3" borderId="10" xfId="0" applyNumberFormat="1" applyFont="1" applyFill="1" applyBorder="1" applyAlignment="1"/>
    <xf numFmtId="0" fontId="68" fillId="3" borderId="3" xfId="0" applyNumberFormat="1" applyFont="1" applyFill="1" applyBorder="1" applyAlignment="1">
      <alignment horizontal="right"/>
    </xf>
    <xf numFmtId="0" fontId="68" fillId="3" borderId="0" xfId="0" applyNumberFormat="1" applyFont="1" applyFill="1" applyBorder="1" applyAlignment="1"/>
    <xf numFmtId="9" fontId="68" fillId="3" borderId="0" xfId="0" applyNumberFormat="1" applyFont="1" applyFill="1" applyBorder="1" applyAlignment="1">
      <alignment horizontal="right"/>
    </xf>
    <xf numFmtId="0" fontId="68" fillId="3" borderId="0" xfId="0" applyNumberFormat="1" applyFont="1" applyFill="1" applyBorder="1" applyAlignment="1">
      <alignment horizontal="right"/>
    </xf>
    <xf numFmtId="4" fontId="68" fillId="3" borderId="0" xfId="0" applyNumberFormat="1" applyFont="1" applyFill="1" applyBorder="1" applyAlignment="1">
      <alignment horizontal="right"/>
    </xf>
    <xf numFmtId="10" fontId="68" fillId="3" borderId="0" xfId="0" applyNumberFormat="1" applyFont="1" applyFill="1" applyBorder="1" applyAlignment="1" applyProtection="1">
      <alignment horizontal="center"/>
      <protection locked="0"/>
    </xf>
    <xf numFmtId="0" fontId="48" fillId="3" borderId="0" xfId="0" applyNumberFormat="1" applyFont="1" applyFill="1" applyBorder="1" applyAlignment="1" applyProtection="1">
      <protection locked="0"/>
    </xf>
    <xf numFmtId="0" fontId="66" fillId="3" borderId="9" xfId="0" applyNumberFormat="1" applyFont="1" applyFill="1" applyBorder="1" applyAlignment="1"/>
    <xf numFmtId="167" fontId="60" fillId="3" borderId="10" xfId="0" applyNumberFormat="1" applyFont="1" applyFill="1" applyBorder="1" applyAlignment="1"/>
    <xf numFmtId="10" fontId="60" fillId="3" borderId="10" xfId="0" applyNumberFormat="1" applyFont="1" applyFill="1" applyBorder="1" applyAlignment="1"/>
    <xf numFmtId="0" fontId="60" fillId="3" borderId="10" xfId="0" applyNumberFormat="1" applyFont="1" applyFill="1" applyBorder="1" applyAlignment="1" applyProtection="1">
      <protection locked="0"/>
    </xf>
    <xf numFmtId="3" fontId="60" fillId="3" borderId="10" xfId="0" applyNumberFormat="1" applyFont="1" applyFill="1" applyBorder="1" applyAlignment="1" applyProtection="1">
      <protection locked="0"/>
    </xf>
    <xf numFmtId="0" fontId="76" fillId="3" borderId="11" xfId="0" applyNumberFormat="1" applyFont="1" applyFill="1" applyBorder="1" applyAlignment="1"/>
    <xf numFmtId="0" fontId="66" fillId="3" borderId="3" xfId="0" applyNumberFormat="1" applyFont="1" applyFill="1" applyBorder="1" applyAlignment="1"/>
    <xf numFmtId="9" fontId="60" fillId="3" borderId="0" xfId="0" applyNumberFormat="1" applyFont="1" applyFill="1" applyBorder="1" applyAlignment="1"/>
    <xf numFmtId="3" fontId="60" fillId="3" borderId="0" xfId="0" applyNumberFormat="1" applyFont="1" applyFill="1" applyBorder="1" applyAlignment="1" applyProtection="1">
      <alignment horizontal="right"/>
      <protection locked="0"/>
    </xf>
    <xf numFmtId="3" fontId="60" fillId="3" borderId="0" xfId="0" applyNumberFormat="1" applyFont="1" applyFill="1" applyAlignment="1"/>
    <xf numFmtId="0" fontId="59" fillId="3" borderId="0" xfId="0" quotePrefix="1" applyNumberFormat="1" applyFont="1" applyFill="1" applyAlignment="1">
      <alignment horizontal="center"/>
    </xf>
    <xf numFmtId="0" fontId="59" fillId="6" borderId="0" xfId="0" applyNumberFormat="1" applyFont="1" applyFill="1" applyAlignment="1"/>
    <xf numFmtId="0" fontId="69" fillId="3" borderId="0" xfId="0" applyNumberFormat="1" applyFont="1" applyFill="1" applyAlignment="1"/>
    <xf numFmtId="0" fontId="48" fillId="0" borderId="2" xfId="0" applyNumberFormat="1" applyFont="1" applyBorder="1"/>
    <xf numFmtId="0" fontId="56" fillId="6" borderId="10" xfId="1" applyNumberFormat="1" applyFont="1" applyFill="1" applyBorder="1" applyAlignment="1" applyProtection="1"/>
    <xf numFmtId="0" fontId="48" fillId="3" borderId="15" xfId="0" applyNumberFormat="1" applyFont="1" applyFill="1" applyBorder="1" applyAlignment="1"/>
    <xf numFmtId="0" fontId="60" fillId="3" borderId="16" xfId="0" applyNumberFormat="1" applyFont="1" applyFill="1" applyBorder="1" applyAlignment="1"/>
    <xf numFmtId="0" fontId="60" fillId="3" borderId="16" xfId="0" applyNumberFormat="1" applyFont="1" applyFill="1" applyBorder="1" applyAlignment="1">
      <alignment horizontal="center" wrapText="1"/>
    </xf>
    <xf numFmtId="0" fontId="48" fillId="3" borderId="16" xfId="0" applyNumberFormat="1" applyFont="1" applyFill="1" applyBorder="1" applyAlignment="1">
      <alignment horizontal="center" wrapText="1"/>
    </xf>
    <xf numFmtId="0" fontId="48" fillId="3" borderId="16" xfId="0" applyNumberFormat="1" applyFont="1" applyFill="1" applyBorder="1" applyAlignment="1"/>
    <xf numFmtId="0" fontId="48" fillId="3" borderId="17" xfId="0" applyNumberFormat="1" applyFont="1" applyFill="1" applyBorder="1" applyAlignment="1"/>
    <xf numFmtId="0" fontId="63" fillId="5" borderId="0" xfId="0" applyNumberFormat="1" applyFont="1" applyFill="1" applyBorder="1" applyAlignment="1"/>
    <xf numFmtId="0" fontId="64" fillId="5" borderId="0" xfId="0" applyNumberFormat="1" applyFont="1" applyFill="1" applyBorder="1" applyAlignment="1">
      <alignment horizontal="center" wrapText="1"/>
    </xf>
    <xf numFmtId="0" fontId="63" fillId="5" borderId="0" xfId="0" applyNumberFormat="1" applyFont="1" applyFill="1" applyBorder="1" applyAlignment="1">
      <alignment horizontal="center" wrapText="1"/>
    </xf>
    <xf numFmtId="0" fontId="63" fillId="5" borderId="18" xfId="0" applyNumberFormat="1" applyFont="1" applyFill="1" applyBorder="1" applyAlignment="1"/>
    <xf numFmtId="3" fontId="60" fillId="3" borderId="0" xfId="0" applyNumberFormat="1" applyFont="1" applyFill="1" applyBorder="1" applyAlignment="1">
      <alignment horizontal="center"/>
    </xf>
    <xf numFmtId="3" fontId="60" fillId="3" borderId="0" xfId="0" applyNumberFormat="1" applyFont="1" applyFill="1" applyBorder="1" applyAlignment="1" applyProtection="1">
      <alignment horizontal="center"/>
      <protection locked="0"/>
    </xf>
    <xf numFmtId="3" fontId="66" fillId="3" borderId="0" xfId="0" applyNumberFormat="1" applyFont="1" applyFill="1" applyBorder="1" applyAlignment="1" applyProtection="1">
      <protection locked="0"/>
    </xf>
    <xf numFmtId="0" fontId="64" fillId="5" borderId="0" xfId="0" applyNumberFormat="1" applyFont="1" applyFill="1" applyBorder="1" applyAlignment="1"/>
    <xf numFmtId="0" fontId="64" fillId="5" borderId="0" xfId="0" applyNumberFormat="1" applyFont="1" applyFill="1" applyBorder="1" applyAlignment="1">
      <alignment horizontal="center"/>
    </xf>
    <xf numFmtId="3" fontId="64" fillId="5" borderId="0" xfId="0" applyNumberFormat="1" applyFont="1" applyFill="1" applyBorder="1" applyAlignment="1">
      <alignment horizontal="center"/>
    </xf>
    <xf numFmtId="167" fontId="60" fillId="3" borderId="0" xfId="0" applyNumberFormat="1" applyFont="1" applyFill="1" applyBorder="1" applyAlignment="1"/>
    <xf numFmtId="10" fontId="60" fillId="3" borderId="0" xfId="0" applyNumberFormat="1" applyFont="1" applyFill="1" applyBorder="1" applyAlignment="1"/>
    <xf numFmtId="0" fontId="60" fillId="3" borderId="0" xfId="0" applyNumberFormat="1" applyFont="1" applyFill="1" applyBorder="1" applyAlignment="1" applyProtection="1">
      <protection locked="0"/>
    </xf>
    <xf numFmtId="0" fontId="64" fillId="5" borderId="18" xfId="0" applyNumberFormat="1" applyFont="1" applyFill="1" applyBorder="1" applyAlignment="1"/>
    <xf numFmtId="0" fontId="48" fillId="3" borderId="19" xfId="0" applyNumberFormat="1" applyFont="1" applyFill="1" applyBorder="1" applyAlignment="1"/>
    <xf numFmtId="0" fontId="48" fillId="3" borderId="18" xfId="0" applyNumberFormat="1" applyFont="1" applyFill="1" applyBorder="1" applyAlignment="1"/>
    <xf numFmtId="0" fontId="62" fillId="3" borderId="18" xfId="0" applyNumberFormat="1" applyFont="1" applyFill="1" applyBorder="1" applyAlignment="1"/>
    <xf numFmtId="0" fontId="71" fillId="3" borderId="18" xfId="0" applyNumberFormat="1" applyFont="1" applyFill="1" applyBorder="1" applyAlignment="1"/>
    <xf numFmtId="0" fontId="66" fillId="3" borderId="18" xfId="0" applyNumberFormat="1" applyFont="1" applyFill="1" applyBorder="1" applyAlignment="1"/>
    <xf numFmtId="0" fontId="72" fillId="5" borderId="19" xfId="0" applyNumberFormat="1" applyFont="1" applyFill="1" applyBorder="1" applyAlignment="1"/>
    <xf numFmtId="0" fontId="73" fillId="3" borderId="18" xfId="0" applyNumberFormat="1" applyFont="1" applyFill="1" applyBorder="1" applyAlignment="1"/>
    <xf numFmtId="0" fontId="63" fillId="5" borderId="19" xfId="0" applyNumberFormat="1" applyFont="1" applyFill="1" applyBorder="1" applyAlignment="1"/>
    <xf numFmtId="3" fontId="76" fillId="3" borderId="18" xfId="0" applyNumberFormat="1" applyFont="1" applyFill="1" applyBorder="1" applyAlignment="1"/>
    <xf numFmtId="0" fontId="75" fillId="3" borderId="18" xfId="0" applyNumberFormat="1" applyFont="1" applyFill="1" applyBorder="1" applyAlignment="1"/>
    <xf numFmtId="0" fontId="76" fillId="3" borderId="18" xfId="0" applyNumberFormat="1" applyFont="1" applyFill="1" applyBorder="1" applyAlignment="1"/>
    <xf numFmtId="0" fontId="66" fillId="3" borderId="8" xfId="0" applyNumberFormat="1" applyFont="1" applyFill="1" applyBorder="1" applyAlignment="1"/>
    <xf numFmtId="10" fontId="48" fillId="3" borderId="10" xfId="0" applyNumberFormat="1" applyFont="1" applyFill="1" applyBorder="1" applyAlignment="1"/>
    <xf numFmtId="3" fontId="48" fillId="3" borderId="10" xfId="0" applyNumberFormat="1" applyFont="1" applyFill="1" applyBorder="1" applyAlignment="1" applyProtection="1">
      <alignment horizontal="center"/>
      <protection locked="0"/>
    </xf>
    <xf numFmtId="4" fontId="48" fillId="3" borderId="10" xfId="0" applyNumberFormat="1" applyFont="1" applyFill="1" applyBorder="1" applyAlignment="1" applyProtection="1">
      <alignment horizontal="center"/>
      <protection locked="0"/>
    </xf>
    <xf numFmtId="0" fontId="60" fillId="3" borderId="20" xfId="0" applyNumberFormat="1" applyFont="1" applyFill="1" applyBorder="1" applyAlignment="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9CB31"/>
      <color rgb="FF2D2926"/>
      <color rgb="FF000099"/>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bin"/><Relationship Id="rId1" Type="http://schemas.openxmlformats.org/officeDocument/2006/relationships/image" Target="file:///C:\WINDOWS\TEMP\Symbol.gif" TargetMode="External"/><Relationship Id="rId4" Type="http://schemas.openxmlformats.org/officeDocument/2006/relationships/image" Target="file:///C:\WINDOWS\TEMP\~0003946.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file:///C:\WINDOWS\TEMP\~0003946.gif"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s>
</file>

<file path=xl/drawings/_rels/drawing8.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51</xdr:row>
      <xdr:rowOff>190500</xdr:rowOff>
    </xdr:from>
    <xdr:to>
      <xdr:col>1</xdr:col>
      <xdr:colOff>0</xdr:colOff>
      <xdr:row>52</xdr:row>
      <xdr:rowOff>228600</xdr:rowOff>
    </xdr:to>
    <xdr:pic>
      <xdr:nvPicPr>
        <xdr:cNvPr id="2014" name="Picture 1" descr="C:\WINDOWS\TEMP\Symbol.gif">
          <a:extLst>
            <a:ext uri="{FF2B5EF4-FFF2-40B4-BE49-F238E27FC236}">
              <a16:creationId xmlns:a16="http://schemas.microsoft.com/office/drawing/2014/main" id="{00000000-0008-0000-0000-0000DE0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44892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110</xdr:row>
      <xdr:rowOff>161925</xdr:rowOff>
    </xdr:from>
    <xdr:to>
      <xdr:col>1</xdr:col>
      <xdr:colOff>19050</xdr:colOff>
      <xdr:row>111</xdr:row>
      <xdr:rowOff>200025</xdr:rowOff>
    </xdr:to>
    <xdr:pic>
      <xdr:nvPicPr>
        <xdr:cNvPr id="2015" name="Picture 2" descr="C:\WINDOWS\TEMP\Symbol.gif">
          <a:extLst>
            <a:ext uri="{FF2B5EF4-FFF2-40B4-BE49-F238E27FC236}">
              <a16:creationId xmlns:a16="http://schemas.microsoft.com/office/drawing/2014/main" id="{00000000-0008-0000-0000-0000DF0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2669500"/>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164</xdr:row>
      <xdr:rowOff>171450</xdr:rowOff>
    </xdr:from>
    <xdr:to>
      <xdr:col>1</xdr:col>
      <xdr:colOff>47625</xdr:colOff>
      <xdr:row>165</xdr:row>
      <xdr:rowOff>209550</xdr:rowOff>
    </xdr:to>
    <xdr:pic>
      <xdr:nvPicPr>
        <xdr:cNvPr id="2016" name="Picture 3" descr="C:\WINDOWS\TEMP\Symbol.gif">
          <a:extLst>
            <a:ext uri="{FF2B5EF4-FFF2-40B4-BE49-F238E27FC236}">
              <a16:creationId xmlns:a16="http://schemas.microsoft.com/office/drawing/2014/main" id="{00000000-0008-0000-0000-0000E00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355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216</xdr:row>
      <xdr:rowOff>161925</xdr:rowOff>
    </xdr:from>
    <xdr:to>
      <xdr:col>1</xdr:col>
      <xdr:colOff>9525</xdr:colOff>
      <xdr:row>217</xdr:row>
      <xdr:rowOff>200025</xdr:rowOff>
    </xdr:to>
    <xdr:pic>
      <xdr:nvPicPr>
        <xdr:cNvPr id="2017" name="Picture 4" descr="C:\WINDOWS\TEMP\Symbol.gif">
          <a:extLst>
            <a:ext uri="{FF2B5EF4-FFF2-40B4-BE49-F238E27FC236}">
              <a16:creationId xmlns:a16="http://schemas.microsoft.com/office/drawing/2014/main" id="{00000000-0008-0000-0000-0000E10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439959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216</xdr:row>
      <xdr:rowOff>123825</xdr:rowOff>
    </xdr:from>
    <xdr:to>
      <xdr:col>13</xdr:col>
      <xdr:colOff>1895475</xdr:colOff>
      <xdr:row>217</xdr:row>
      <xdr:rowOff>152400</xdr:rowOff>
    </xdr:to>
    <xdr:pic>
      <xdr:nvPicPr>
        <xdr:cNvPr id="2018" name="Picture 5" descr="C:\WINDOWS\TEMP\~0003946.gif">
          <a:extLst>
            <a:ext uri="{FF2B5EF4-FFF2-40B4-BE49-F238E27FC236}">
              <a16:creationId xmlns:a16="http://schemas.microsoft.com/office/drawing/2014/main" id="{00000000-0008-0000-0000-0000E20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7573625" y="439578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164</xdr:row>
      <xdr:rowOff>152400</xdr:rowOff>
    </xdr:from>
    <xdr:to>
      <xdr:col>13</xdr:col>
      <xdr:colOff>1924050</xdr:colOff>
      <xdr:row>165</xdr:row>
      <xdr:rowOff>180975</xdr:rowOff>
    </xdr:to>
    <xdr:pic>
      <xdr:nvPicPr>
        <xdr:cNvPr id="2019" name="Picture 6" descr="C:\WINDOWS\TEMP\~0003946.gif">
          <a:extLst>
            <a:ext uri="{FF2B5EF4-FFF2-40B4-BE49-F238E27FC236}">
              <a16:creationId xmlns:a16="http://schemas.microsoft.com/office/drawing/2014/main" id="{00000000-0008-0000-0000-0000E30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7602200" y="33537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110</xdr:row>
      <xdr:rowOff>161925</xdr:rowOff>
    </xdr:from>
    <xdr:to>
      <xdr:col>13</xdr:col>
      <xdr:colOff>1952625</xdr:colOff>
      <xdr:row>111</xdr:row>
      <xdr:rowOff>190500</xdr:rowOff>
    </xdr:to>
    <xdr:pic>
      <xdr:nvPicPr>
        <xdr:cNvPr id="2020" name="Picture 7" descr="C:\WINDOWS\TEMP\~0003946.gif">
          <a:extLst>
            <a:ext uri="{FF2B5EF4-FFF2-40B4-BE49-F238E27FC236}">
              <a16:creationId xmlns:a16="http://schemas.microsoft.com/office/drawing/2014/main" id="{00000000-0008-0000-0000-0000E40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7630775" y="22669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51</xdr:row>
      <xdr:rowOff>161925</xdr:rowOff>
    </xdr:from>
    <xdr:to>
      <xdr:col>13</xdr:col>
      <xdr:colOff>1952625</xdr:colOff>
      <xdr:row>52</xdr:row>
      <xdr:rowOff>190500</xdr:rowOff>
    </xdr:to>
    <xdr:pic>
      <xdr:nvPicPr>
        <xdr:cNvPr id="2021" name="Picture 8" descr="C:\WINDOWS\TEMP\~0003946.gif">
          <a:extLst>
            <a:ext uri="{FF2B5EF4-FFF2-40B4-BE49-F238E27FC236}">
              <a16:creationId xmlns:a16="http://schemas.microsoft.com/office/drawing/2014/main" id="{00000000-0008-0000-0000-0000E50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7630775" y="10420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2201" name="Picture 1" descr="C:\WINDOWS\TEMP\Symbol.gif">
          <a:extLst>
            <a:ext uri="{FF2B5EF4-FFF2-40B4-BE49-F238E27FC236}">
              <a16:creationId xmlns:a16="http://schemas.microsoft.com/office/drawing/2014/main" id="{00000000-0008-0000-0900-0000A92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2202" name="Picture 2" descr="C:\WINDOWS\TEMP\Symbol.gif">
          <a:extLst>
            <a:ext uri="{FF2B5EF4-FFF2-40B4-BE49-F238E27FC236}">
              <a16:creationId xmlns:a16="http://schemas.microsoft.com/office/drawing/2014/main" id="{00000000-0008-0000-0900-0000AA2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2203" name="Picture 3" descr="C:\WINDOWS\TEMP\Symbol.gif">
          <a:extLst>
            <a:ext uri="{FF2B5EF4-FFF2-40B4-BE49-F238E27FC236}">
              <a16:creationId xmlns:a16="http://schemas.microsoft.com/office/drawing/2014/main" id="{00000000-0008-0000-0900-0000AB2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2204" name="Picture 4" descr="C:\WINDOWS\TEMP\Symbol.gif">
          <a:extLst>
            <a:ext uri="{FF2B5EF4-FFF2-40B4-BE49-F238E27FC236}">
              <a16:creationId xmlns:a16="http://schemas.microsoft.com/office/drawing/2014/main" id="{00000000-0008-0000-0900-0000AC2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2205" name="Picture 5" descr="C:\WINDOWS\TEMP\~0003946.gif">
          <a:extLst>
            <a:ext uri="{FF2B5EF4-FFF2-40B4-BE49-F238E27FC236}">
              <a16:creationId xmlns:a16="http://schemas.microsoft.com/office/drawing/2014/main" id="{00000000-0008-0000-0900-0000AD2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2206" name="Picture 6" descr="C:\WINDOWS\TEMP\~0003946.gif">
          <a:extLst>
            <a:ext uri="{FF2B5EF4-FFF2-40B4-BE49-F238E27FC236}">
              <a16:creationId xmlns:a16="http://schemas.microsoft.com/office/drawing/2014/main" id="{00000000-0008-0000-0900-0000AE2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2207" name="Picture 7" descr="C:\WINDOWS\TEMP\~0003946.gif">
          <a:extLst>
            <a:ext uri="{FF2B5EF4-FFF2-40B4-BE49-F238E27FC236}">
              <a16:creationId xmlns:a16="http://schemas.microsoft.com/office/drawing/2014/main" id="{00000000-0008-0000-0900-0000AF2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2208" name="Picture 8" descr="C:\WINDOWS\TEMP\~0003946.gif">
          <a:extLst>
            <a:ext uri="{FF2B5EF4-FFF2-40B4-BE49-F238E27FC236}">
              <a16:creationId xmlns:a16="http://schemas.microsoft.com/office/drawing/2014/main" id="{00000000-0008-0000-0900-0000B02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3225" name="Picture 1" descr="C:\WINDOWS\TEMP\Symbol.gif">
          <a:extLst>
            <a:ext uri="{FF2B5EF4-FFF2-40B4-BE49-F238E27FC236}">
              <a16:creationId xmlns:a16="http://schemas.microsoft.com/office/drawing/2014/main" id="{00000000-0008-0000-0A00-0000A93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3226" name="Picture 2" descr="C:\WINDOWS\TEMP\Symbol.gif">
          <a:extLst>
            <a:ext uri="{FF2B5EF4-FFF2-40B4-BE49-F238E27FC236}">
              <a16:creationId xmlns:a16="http://schemas.microsoft.com/office/drawing/2014/main" id="{00000000-0008-0000-0A00-0000AA3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3227" name="Picture 3" descr="C:\WINDOWS\TEMP\Symbol.gif">
          <a:extLst>
            <a:ext uri="{FF2B5EF4-FFF2-40B4-BE49-F238E27FC236}">
              <a16:creationId xmlns:a16="http://schemas.microsoft.com/office/drawing/2014/main" id="{00000000-0008-0000-0A00-0000AB3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3228" name="Picture 4" descr="C:\WINDOWS\TEMP\Symbol.gif">
          <a:extLst>
            <a:ext uri="{FF2B5EF4-FFF2-40B4-BE49-F238E27FC236}">
              <a16:creationId xmlns:a16="http://schemas.microsoft.com/office/drawing/2014/main" id="{00000000-0008-0000-0A00-0000AC3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3229" name="Picture 5" descr="C:\WINDOWS\TEMP\~0003946.gif">
          <a:extLst>
            <a:ext uri="{FF2B5EF4-FFF2-40B4-BE49-F238E27FC236}">
              <a16:creationId xmlns:a16="http://schemas.microsoft.com/office/drawing/2014/main" id="{00000000-0008-0000-0A00-0000AD3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3230" name="Picture 6" descr="C:\WINDOWS\TEMP\~0003946.gif">
          <a:extLst>
            <a:ext uri="{FF2B5EF4-FFF2-40B4-BE49-F238E27FC236}">
              <a16:creationId xmlns:a16="http://schemas.microsoft.com/office/drawing/2014/main" id="{00000000-0008-0000-0A00-0000AE3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3231" name="Picture 7" descr="C:\WINDOWS\TEMP\~0003946.gif">
          <a:extLst>
            <a:ext uri="{FF2B5EF4-FFF2-40B4-BE49-F238E27FC236}">
              <a16:creationId xmlns:a16="http://schemas.microsoft.com/office/drawing/2014/main" id="{00000000-0008-0000-0A00-0000AF3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3232" name="Picture 8" descr="C:\WINDOWS\TEMP\~0003946.gif">
          <a:extLst>
            <a:ext uri="{FF2B5EF4-FFF2-40B4-BE49-F238E27FC236}">
              <a16:creationId xmlns:a16="http://schemas.microsoft.com/office/drawing/2014/main" id="{00000000-0008-0000-0A00-0000B03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4249" name="Picture 1" descr="C:\WINDOWS\TEMP\Symbol.gif">
          <a:extLst>
            <a:ext uri="{FF2B5EF4-FFF2-40B4-BE49-F238E27FC236}">
              <a16:creationId xmlns:a16="http://schemas.microsoft.com/office/drawing/2014/main" id="{00000000-0008-0000-0B00-0000A93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4250" name="Picture 2" descr="C:\WINDOWS\TEMP\Symbol.gif">
          <a:extLst>
            <a:ext uri="{FF2B5EF4-FFF2-40B4-BE49-F238E27FC236}">
              <a16:creationId xmlns:a16="http://schemas.microsoft.com/office/drawing/2014/main" id="{00000000-0008-0000-0B00-0000AA3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4251" name="Picture 3" descr="C:\WINDOWS\TEMP\Symbol.gif">
          <a:extLst>
            <a:ext uri="{FF2B5EF4-FFF2-40B4-BE49-F238E27FC236}">
              <a16:creationId xmlns:a16="http://schemas.microsoft.com/office/drawing/2014/main" id="{00000000-0008-0000-0B00-0000AB3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4252" name="Picture 4" descr="C:\WINDOWS\TEMP\Symbol.gif">
          <a:extLst>
            <a:ext uri="{FF2B5EF4-FFF2-40B4-BE49-F238E27FC236}">
              <a16:creationId xmlns:a16="http://schemas.microsoft.com/office/drawing/2014/main" id="{00000000-0008-0000-0B00-0000AC3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4253" name="Picture 5" descr="C:\WINDOWS\TEMP\~0003946.gif">
          <a:extLst>
            <a:ext uri="{FF2B5EF4-FFF2-40B4-BE49-F238E27FC236}">
              <a16:creationId xmlns:a16="http://schemas.microsoft.com/office/drawing/2014/main" id="{00000000-0008-0000-0B00-0000AD3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4254" name="Picture 6" descr="C:\WINDOWS\TEMP\~0003946.gif">
          <a:extLst>
            <a:ext uri="{FF2B5EF4-FFF2-40B4-BE49-F238E27FC236}">
              <a16:creationId xmlns:a16="http://schemas.microsoft.com/office/drawing/2014/main" id="{00000000-0008-0000-0B00-0000AE3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4255" name="Picture 7" descr="C:\WINDOWS\TEMP\~0003946.gif">
          <a:extLst>
            <a:ext uri="{FF2B5EF4-FFF2-40B4-BE49-F238E27FC236}">
              <a16:creationId xmlns:a16="http://schemas.microsoft.com/office/drawing/2014/main" id="{00000000-0008-0000-0B00-0000AF3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4256" name="Picture 8" descr="C:\WINDOWS\TEMP\~0003946.gif">
          <a:extLst>
            <a:ext uri="{FF2B5EF4-FFF2-40B4-BE49-F238E27FC236}">
              <a16:creationId xmlns:a16="http://schemas.microsoft.com/office/drawing/2014/main" id="{00000000-0008-0000-0B00-0000B03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5273" name="Picture 1" descr="C:\WINDOWS\TEMP\Symbol.gif">
          <a:extLst>
            <a:ext uri="{FF2B5EF4-FFF2-40B4-BE49-F238E27FC236}">
              <a16:creationId xmlns:a16="http://schemas.microsoft.com/office/drawing/2014/main" id="{00000000-0008-0000-0C00-0000A93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5274" name="Picture 2" descr="C:\WINDOWS\TEMP\Symbol.gif">
          <a:extLst>
            <a:ext uri="{FF2B5EF4-FFF2-40B4-BE49-F238E27FC236}">
              <a16:creationId xmlns:a16="http://schemas.microsoft.com/office/drawing/2014/main" id="{00000000-0008-0000-0C00-0000AA3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5275" name="Picture 3" descr="C:\WINDOWS\TEMP\Symbol.gif">
          <a:extLst>
            <a:ext uri="{FF2B5EF4-FFF2-40B4-BE49-F238E27FC236}">
              <a16:creationId xmlns:a16="http://schemas.microsoft.com/office/drawing/2014/main" id="{00000000-0008-0000-0C00-0000AB3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5276" name="Picture 4" descr="C:\WINDOWS\TEMP\Symbol.gif">
          <a:extLst>
            <a:ext uri="{FF2B5EF4-FFF2-40B4-BE49-F238E27FC236}">
              <a16:creationId xmlns:a16="http://schemas.microsoft.com/office/drawing/2014/main" id="{00000000-0008-0000-0C00-0000AC3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5277" name="Picture 5" descr="C:\WINDOWS\TEMP\~0003946.gif">
          <a:extLst>
            <a:ext uri="{FF2B5EF4-FFF2-40B4-BE49-F238E27FC236}">
              <a16:creationId xmlns:a16="http://schemas.microsoft.com/office/drawing/2014/main" id="{00000000-0008-0000-0C00-0000AD3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5278" name="Picture 6" descr="C:\WINDOWS\TEMP\~0003946.gif">
          <a:extLst>
            <a:ext uri="{FF2B5EF4-FFF2-40B4-BE49-F238E27FC236}">
              <a16:creationId xmlns:a16="http://schemas.microsoft.com/office/drawing/2014/main" id="{00000000-0008-0000-0C00-0000AE3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5279" name="Picture 7" descr="C:\WINDOWS\TEMP\~0003946.gif">
          <a:extLst>
            <a:ext uri="{FF2B5EF4-FFF2-40B4-BE49-F238E27FC236}">
              <a16:creationId xmlns:a16="http://schemas.microsoft.com/office/drawing/2014/main" id="{00000000-0008-0000-0C00-0000AF3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5280" name="Picture 8" descr="C:\WINDOWS\TEMP\~0003946.gif">
          <a:extLst>
            <a:ext uri="{FF2B5EF4-FFF2-40B4-BE49-F238E27FC236}">
              <a16:creationId xmlns:a16="http://schemas.microsoft.com/office/drawing/2014/main" id="{00000000-0008-0000-0C00-0000B03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6297" name="Picture 1" descr="C:\WINDOWS\TEMP\Symbol.gif">
          <a:extLst>
            <a:ext uri="{FF2B5EF4-FFF2-40B4-BE49-F238E27FC236}">
              <a16:creationId xmlns:a16="http://schemas.microsoft.com/office/drawing/2014/main" id="{00000000-0008-0000-0D00-0000A93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6298" name="Picture 2" descr="C:\WINDOWS\TEMP\Symbol.gif">
          <a:extLst>
            <a:ext uri="{FF2B5EF4-FFF2-40B4-BE49-F238E27FC236}">
              <a16:creationId xmlns:a16="http://schemas.microsoft.com/office/drawing/2014/main" id="{00000000-0008-0000-0D00-0000AA3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6299" name="Picture 3" descr="C:\WINDOWS\TEMP\Symbol.gif">
          <a:extLst>
            <a:ext uri="{FF2B5EF4-FFF2-40B4-BE49-F238E27FC236}">
              <a16:creationId xmlns:a16="http://schemas.microsoft.com/office/drawing/2014/main" id="{00000000-0008-0000-0D00-0000AB3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6300" name="Picture 4" descr="C:\WINDOWS\TEMP\Symbol.gif">
          <a:extLst>
            <a:ext uri="{FF2B5EF4-FFF2-40B4-BE49-F238E27FC236}">
              <a16:creationId xmlns:a16="http://schemas.microsoft.com/office/drawing/2014/main" id="{00000000-0008-0000-0D00-0000AC3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6301" name="Picture 5" descr="C:\WINDOWS\TEMP\~0003946.gif">
          <a:extLst>
            <a:ext uri="{FF2B5EF4-FFF2-40B4-BE49-F238E27FC236}">
              <a16:creationId xmlns:a16="http://schemas.microsoft.com/office/drawing/2014/main" id="{00000000-0008-0000-0D00-0000AD3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6302" name="Picture 6" descr="C:\WINDOWS\TEMP\~0003946.gif">
          <a:extLst>
            <a:ext uri="{FF2B5EF4-FFF2-40B4-BE49-F238E27FC236}">
              <a16:creationId xmlns:a16="http://schemas.microsoft.com/office/drawing/2014/main" id="{00000000-0008-0000-0D00-0000AE3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6303" name="Picture 7" descr="C:\WINDOWS\TEMP\~0003946.gif">
          <a:extLst>
            <a:ext uri="{FF2B5EF4-FFF2-40B4-BE49-F238E27FC236}">
              <a16:creationId xmlns:a16="http://schemas.microsoft.com/office/drawing/2014/main" id="{00000000-0008-0000-0D00-0000AF3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6304" name="Picture 8" descr="C:\WINDOWS\TEMP\~0003946.gif">
          <a:extLst>
            <a:ext uri="{FF2B5EF4-FFF2-40B4-BE49-F238E27FC236}">
              <a16:creationId xmlns:a16="http://schemas.microsoft.com/office/drawing/2014/main" id="{00000000-0008-0000-0D00-0000B03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7321" name="Picture 1" descr="C:\WINDOWS\TEMP\Symbol.gif">
          <a:extLst>
            <a:ext uri="{FF2B5EF4-FFF2-40B4-BE49-F238E27FC236}">
              <a16:creationId xmlns:a16="http://schemas.microsoft.com/office/drawing/2014/main" id="{00000000-0008-0000-0E00-0000A94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7322" name="Picture 2" descr="C:\WINDOWS\TEMP\Symbol.gif">
          <a:extLst>
            <a:ext uri="{FF2B5EF4-FFF2-40B4-BE49-F238E27FC236}">
              <a16:creationId xmlns:a16="http://schemas.microsoft.com/office/drawing/2014/main" id="{00000000-0008-0000-0E00-0000AA4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7323" name="Picture 3" descr="C:\WINDOWS\TEMP\Symbol.gif">
          <a:extLst>
            <a:ext uri="{FF2B5EF4-FFF2-40B4-BE49-F238E27FC236}">
              <a16:creationId xmlns:a16="http://schemas.microsoft.com/office/drawing/2014/main" id="{00000000-0008-0000-0E00-0000AB4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7324" name="Picture 4" descr="C:\WINDOWS\TEMP\Symbol.gif">
          <a:extLst>
            <a:ext uri="{FF2B5EF4-FFF2-40B4-BE49-F238E27FC236}">
              <a16:creationId xmlns:a16="http://schemas.microsoft.com/office/drawing/2014/main" id="{00000000-0008-0000-0E00-0000AC4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7325" name="Picture 5" descr="C:\WINDOWS\TEMP\~0003946.gif">
          <a:extLst>
            <a:ext uri="{FF2B5EF4-FFF2-40B4-BE49-F238E27FC236}">
              <a16:creationId xmlns:a16="http://schemas.microsoft.com/office/drawing/2014/main" id="{00000000-0008-0000-0E00-0000AD4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7326" name="Picture 6" descr="C:\WINDOWS\TEMP\~0003946.gif">
          <a:extLst>
            <a:ext uri="{FF2B5EF4-FFF2-40B4-BE49-F238E27FC236}">
              <a16:creationId xmlns:a16="http://schemas.microsoft.com/office/drawing/2014/main" id="{00000000-0008-0000-0E00-0000AE4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7327" name="Picture 7" descr="C:\WINDOWS\TEMP\~0003946.gif">
          <a:extLst>
            <a:ext uri="{FF2B5EF4-FFF2-40B4-BE49-F238E27FC236}">
              <a16:creationId xmlns:a16="http://schemas.microsoft.com/office/drawing/2014/main" id="{00000000-0008-0000-0E00-0000AF4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7328" name="Picture 8" descr="C:\WINDOWS\TEMP\~0003946.gif">
          <a:extLst>
            <a:ext uri="{FF2B5EF4-FFF2-40B4-BE49-F238E27FC236}">
              <a16:creationId xmlns:a16="http://schemas.microsoft.com/office/drawing/2014/main" id="{00000000-0008-0000-0E00-0000B04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8345" name="Picture 1" descr="C:\WINDOWS\TEMP\Symbol.gif">
          <a:extLst>
            <a:ext uri="{FF2B5EF4-FFF2-40B4-BE49-F238E27FC236}">
              <a16:creationId xmlns:a16="http://schemas.microsoft.com/office/drawing/2014/main" id="{00000000-0008-0000-0F00-0000A94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8346" name="Picture 2" descr="C:\WINDOWS\TEMP\Symbol.gif">
          <a:extLst>
            <a:ext uri="{FF2B5EF4-FFF2-40B4-BE49-F238E27FC236}">
              <a16:creationId xmlns:a16="http://schemas.microsoft.com/office/drawing/2014/main" id="{00000000-0008-0000-0F00-0000AA4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8347" name="Picture 3" descr="C:\WINDOWS\TEMP\Symbol.gif">
          <a:extLst>
            <a:ext uri="{FF2B5EF4-FFF2-40B4-BE49-F238E27FC236}">
              <a16:creationId xmlns:a16="http://schemas.microsoft.com/office/drawing/2014/main" id="{00000000-0008-0000-0F00-0000AB4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8348" name="Picture 4" descr="C:\WINDOWS\TEMP\Symbol.gif">
          <a:extLst>
            <a:ext uri="{FF2B5EF4-FFF2-40B4-BE49-F238E27FC236}">
              <a16:creationId xmlns:a16="http://schemas.microsoft.com/office/drawing/2014/main" id="{00000000-0008-0000-0F00-0000AC4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8349" name="Picture 5" descr="C:\WINDOWS\TEMP\~0003946.gif">
          <a:extLst>
            <a:ext uri="{FF2B5EF4-FFF2-40B4-BE49-F238E27FC236}">
              <a16:creationId xmlns:a16="http://schemas.microsoft.com/office/drawing/2014/main" id="{00000000-0008-0000-0F00-0000AD4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8350" name="Picture 6" descr="C:\WINDOWS\TEMP\~0003946.gif">
          <a:extLst>
            <a:ext uri="{FF2B5EF4-FFF2-40B4-BE49-F238E27FC236}">
              <a16:creationId xmlns:a16="http://schemas.microsoft.com/office/drawing/2014/main" id="{00000000-0008-0000-0F00-0000AE4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8351" name="Picture 7" descr="C:\WINDOWS\TEMP\~0003946.gif">
          <a:extLst>
            <a:ext uri="{FF2B5EF4-FFF2-40B4-BE49-F238E27FC236}">
              <a16:creationId xmlns:a16="http://schemas.microsoft.com/office/drawing/2014/main" id="{00000000-0008-0000-0F00-0000AF4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8352" name="Picture 8" descr="C:\WINDOWS\TEMP\~0003946.gif">
          <a:extLst>
            <a:ext uri="{FF2B5EF4-FFF2-40B4-BE49-F238E27FC236}">
              <a16:creationId xmlns:a16="http://schemas.microsoft.com/office/drawing/2014/main" id="{00000000-0008-0000-0F00-0000B04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9369" name="Picture 1" descr="C:\WINDOWS\TEMP\Symbol.gif">
          <a:extLst>
            <a:ext uri="{FF2B5EF4-FFF2-40B4-BE49-F238E27FC236}">
              <a16:creationId xmlns:a16="http://schemas.microsoft.com/office/drawing/2014/main" id="{00000000-0008-0000-1000-0000A94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9370" name="Picture 2" descr="C:\WINDOWS\TEMP\Symbol.gif">
          <a:extLst>
            <a:ext uri="{FF2B5EF4-FFF2-40B4-BE49-F238E27FC236}">
              <a16:creationId xmlns:a16="http://schemas.microsoft.com/office/drawing/2014/main" id="{00000000-0008-0000-1000-0000AA4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9371" name="Picture 3" descr="C:\WINDOWS\TEMP\Symbol.gif">
          <a:extLst>
            <a:ext uri="{FF2B5EF4-FFF2-40B4-BE49-F238E27FC236}">
              <a16:creationId xmlns:a16="http://schemas.microsoft.com/office/drawing/2014/main" id="{00000000-0008-0000-1000-0000AB4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9372" name="Picture 4" descr="C:\WINDOWS\TEMP\Symbol.gif">
          <a:extLst>
            <a:ext uri="{FF2B5EF4-FFF2-40B4-BE49-F238E27FC236}">
              <a16:creationId xmlns:a16="http://schemas.microsoft.com/office/drawing/2014/main" id="{00000000-0008-0000-1000-0000AC4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9373" name="Picture 5" descr="C:\WINDOWS\TEMP\~0003946.gif">
          <a:extLst>
            <a:ext uri="{FF2B5EF4-FFF2-40B4-BE49-F238E27FC236}">
              <a16:creationId xmlns:a16="http://schemas.microsoft.com/office/drawing/2014/main" id="{00000000-0008-0000-1000-0000AD4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9374" name="Picture 6" descr="C:\WINDOWS\TEMP\~0003946.gif">
          <a:extLst>
            <a:ext uri="{FF2B5EF4-FFF2-40B4-BE49-F238E27FC236}">
              <a16:creationId xmlns:a16="http://schemas.microsoft.com/office/drawing/2014/main" id="{00000000-0008-0000-1000-0000AE4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9375" name="Picture 7" descr="C:\WINDOWS\TEMP\~0003946.gif">
          <a:extLst>
            <a:ext uri="{FF2B5EF4-FFF2-40B4-BE49-F238E27FC236}">
              <a16:creationId xmlns:a16="http://schemas.microsoft.com/office/drawing/2014/main" id="{00000000-0008-0000-1000-0000AF4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9376" name="Picture 8" descr="C:\WINDOWS\TEMP\~0003946.gif">
          <a:extLst>
            <a:ext uri="{FF2B5EF4-FFF2-40B4-BE49-F238E27FC236}">
              <a16:creationId xmlns:a16="http://schemas.microsoft.com/office/drawing/2014/main" id="{00000000-0008-0000-1000-0000B04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0393" name="Picture 1" descr="C:\WINDOWS\TEMP\Symbol.gif">
          <a:extLst>
            <a:ext uri="{FF2B5EF4-FFF2-40B4-BE49-F238E27FC236}">
              <a16:creationId xmlns:a16="http://schemas.microsoft.com/office/drawing/2014/main" id="{00000000-0008-0000-1100-0000A94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20394" name="Picture 2" descr="C:\WINDOWS\TEMP\Symbol.gif">
          <a:extLst>
            <a:ext uri="{FF2B5EF4-FFF2-40B4-BE49-F238E27FC236}">
              <a16:creationId xmlns:a16="http://schemas.microsoft.com/office/drawing/2014/main" id="{00000000-0008-0000-1100-0000AA4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20395" name="Picture 3" descr="C:\WINDOWS\TEMP\Symbol.gif">
          <a:extLst>
            <a:ext uri="{FF2B5EF4-FFF2-40B4-BE49-F238E27FC236}">
              <a16:creationId xmlns:a16="http://schemas.microsoft.com/office/drawing/2014/main" id="{00000000-0008-0000-1100-0000AB4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20396" name="Picture 4" descr="C:\WINDOWS\TEMP\Symbol.gif">
          <a:extLst>
            <a:ext uri="{FF2B5EF4-FFF2-40B4-BE49-F238E27FC236}">
              <a16:creationId xmlns:a16="http://schemas.microsoft.com/office/drawing/2014/main" id="{00000000-0008-0000-1100-0000AC4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20397" name="Picture 5" descr="C:\WINDOWS\TEMP\~0003946.gif">
          <a:extLst>
            <a:ext uri="{FF2B5EF4-FFF2-40B4-BE49-F238E27FC236}">
              <a16:creationId xmlns:a16="http://schemas.microsoft.com/office/drawing/2014/main" id="{00000000-0008-0000-1100-0000AD4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20398" name="Picture 6" descr="C:\WINDOWS\TEMP\~0003946.gif">
          <a:extLst>
            <a:ext uri="{FF2B5EF4-FFF2-40B4-BE49-F238E27FC236}">
              <a16:creationId xmlns:a16="http://schemas.microsoft.com/office/drawing/2014/main" id="{00000000-0008-0000-1100-0000AE4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20399" name="Picture 7" descr="C:\WINDOWS\TEMP\~0003946.gif">
          <a:extLst>
            <a:ext uri="{FF2B5EF4-FFF2-40B4-BE49-F238E27FC236}">
              <a16:creationId xmlns:a16="http://schemas.microsoft.com/office/drawing/2014/main" id="{00000000-0008-0000-1100-0000AF4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0400" name="Picture 8" descr="C:\WINDOWS\TEMP\~0003946.gif">
          <a:extLst>
            <a:ext uri="{FF2B5EF4-FFF2-40B4-BE49-F238E27FC236}">
              <a16:creationId xmlns:a16="http://schemas.microsoft.com/office/drawing/2014/main" id="{00000000-0008-0000-1100-0000B04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1417" name="Picture 1" descr="C:\WINDOWS\TEMP\Symbol.gif">
          <a:extLst>
            <a:ext uri="{FF2B5EF4-FFF2-40B4-BE49-F238E27FC236}">
              <a16:creationId xmlns:a16="http://schemas.microsoft.com/office/drawing/2014/main" id="{00000000-0008-0000-1200-0000A95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21418" name="Picture 2" descr="C:\WINDOWS\TEMP\Symbol.gif">
          <a:extLst>
            <a:ext uri="{FF2B5EF4-FFF2-40B4-BE49-F238E27FC236}">
              <a16:creationId xmlns:a16="http://schemas.microsoft.com/office/drawing/2014/main" id="{00000000-0008-0000-1200-0000AA5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21419" name="Picture 3" descr="C:\WINDOWS\TEMP\Symbol.gif">
          <a:extLst>
            <a:ext uri="{FF2B5EF4-FFF2-40B4-BE49-F238E27FC236}">
              <a16:creationId xmlns:a16="http://schemas.microsoft.com/office/drawing/2014/main" id="{00000000-0008-0000-1200-0000AB5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21420" name="Picture 4" descr="C:\WINDOWS\TEMP\Symbol.gif">
          <a:extLst>
            <a:ext uri="{FF2B5EF4-FFF2-40B4-BE49-F238E27FC236}">
              <a16:creationId xmlns:a16="http://schemas.microsoft.com/office/drawing/2014/main" id="{00000000-0008-0000-1200-0000AC5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21421" name="Picture 5" descr="C:\WINDOWS\TEMP\~0003946.gif">
          <a:extLst>
            <a:ext uri="{FF2B5EF4-FFF2-40B4-BE49-F238E27FC236}">
              <a16:creationId xmlns:a16="http://schemas.microsoft.com/office/drawing/2014/main" id="{00000000-0008-0000-1200-0000AD5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21422" name="Picture 6" descr="C:\WINDOWS\TEMP\~0003946.gif">
          <a:extLst>
            <a:ext uri="{FF2B5EF4-FFF2-40B4-BE49-F238E27FC236}">
              <a16:creationId xmlns:a16="http://schemas.microsoft.com/office/drawing/2014/main" id="{00000000-0008-0000-1200-0000AE5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21423" name="Picture 7" descr="C:\WINDOWS\TEMP\~0003946.gif">
          <a:extLst>
            <a:ext uri="{FF2B5EF4-FFF2-40B4-BE49-F238E27FC236}">
              <a16:creationId xmlns:a16="http://schemas.microsoft.com/office/drawing/2014/main" id="{00000000-0008-0000-1200-0000AF5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1424" name="Picture 8" descr="C:\WINDOWS\TEMP\~0003946.gif">
          <a:extLst>
            <a:ext uri="{FF2B5EF4-FFF2-40B4-BE49-F238E27FC236}">
              <a16:creationId xmlns:a16="http://schemas.microsoft.com/office/drawing/2014/main" id="{00000000-0008-0000-1200-0000B05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4009" name="Picture 1" descr="C:\WINDOWS\TEMP\Symbol.gif">
          <a:extLst>
            <a:ext uri="{FF2B5EF4-FFF2-40B4-BE49-F238E27FC236}">
              <a16:creationId xmlns:a16="http://schemas.microsoft.com/office/drawing/2014/main" id="{00000000-0008-0000-0100-0000A90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111</xdr:row>
      <xdr:rowOff>161925</xdr:rowOff>
    </xdr:from>
    <xdr:to>
      <xdr:col>1</xdr:col>
      <xdr:colOff>19050</xdr:colOff>
      <xdr:row>112</xdr:row>
      <xdr:rowOff>200025</xdr:rowOff>
    </xdr:to>
    <xdr:pic>
      <xdr:nvPicPr>
        <xdr:cNvPr id="4010" name="Picture 2" descr="C:\WINDOWS\TEMP\Symbol.gif">
          <a:extLst>
            <a:ext uri="{FF2B5EF4-FFF2-40B4-BE49-F238E27FC236}">
              <a16:creationId xmlns:a16="http://schemas.microsoft.com/office/drawing/2014/main" id="{00000000-0008-0000-0100-0000AA0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290762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165</xdr:row>
      <xdr:rowOff>171450</xdr:rowOff>
    </xdr:from>
    <xdr:to>
      <xdr:col>1</xdr:col>
      <xdr:colOff>47625</xdr:colOff>
      <xdr:row>166</xdr:row>
      <xdr:rowOff>209550</xdr:rowOff>
    </xdr:to>
    <xdr:pic>
      <xdr:nvPicPr>
        <xdr:cNvPr id="4011" name="Picture 3" descr="C:\WINDOWS\TEMP\Symbol.gif">
          <a:extLst>
            <a:ext uri="{FF2B5EF4-FFF2-40B4-BE49-F238E27FC236}">
              <a16:creationId xmlns:a16="http://schemas.microsoft.com/office/drawing/2014/main" id="{00000000-0008-0000-0100-0000AB0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37947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219</xdr:row>
      <xdr:rowOff>161925</xdr:rowOff>
    </xdr:from>
    <xdr:to>
      <xdr:col>1</xdr:col>
      <xdr:colOff>9525</xdr:colOff>
      <xdr:row>220</xdr:row>
      <xdr:rowOff>200025</xdr:rowOff>
    </xdr:to>
    <xdr:pic>
      <xdr:nvPicPr>
        <xdr:cNvPr id="4012" name="Picture 4" descr="C:\WINDOWS\TEMP\Symbol.gif">
          <a:extLst>
            <a:ext uri="{FF2B5EF4-FFF2-40B4-BE49-F238E27FC236}">
              <a16:creationId xmlns:a16="http://schemas.microsoft.com/office/drawing/2014/main" id="{00000000-0008-0000-0100-0000AC0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46722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219</xdr:row>
      <xdr:rowOff>123825</xdr:rowOff>
    </xdr:from>
    <xdr:to>
      <xdr:col>13</xdr:col>
      <xdr:colOff>1895475</xdr:colOff>
      <xdr:row>220</xdr:row>
      <xdr:rowOff>152400</xdr:rowOff>
    </xdr:to>
    <xdr:pic>
      <xdr:nvPicPr>
        <xdr:cNvPr id="4013" name="Picture 5" descr="C:\WINDOWS\TEMP\~0003946.gif">
          <a:extLst>
            <a:ext uri="{FF2B5EF4-FFF2-40B4-BE49-F238E27FC236}">
              <a16:creationId xmlns:a16="http://schemas.microsoft.com/office/drawing/2014/main" id="{00000000-0008-0000-0100-0000AD0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4634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165</xdr:row>
      <xdr:rowOff>152400</xdr:rowOff>
    </xdr:from>
    <xdr:to>
      <xdr:col>13</xdr:col>
      <xdr:colOff>1924050</xdr:colOff>
      <xdr:row>166</xdr:row>
      <xdr:rowOff>180975</xdr:rowOff>
    </xdr:to>
    <xdr:pic>
      <xdr:nvPicPr>
        <xdr:cNvPr id="4014" name="Picture 6" descr="C:\WINDOWS\TEMP\~0003946.gif">
          <a:extLst>
            <a:ext uri="{FF2B5EF4-FFF2-40B4-BE49-F238E27FC236}">
              <a16:creationId xmlns:a16="http://schemas.microsoft.com/office/drawing/2014/main" id="{00000000-0008-0000-0100-0000AE0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3775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111</xdr:row>
      <xdr:rowOff>161925</xdr:rowOff>
    </xdr:from>
    <xdr:to>
      <xdr:col>13</xdr:col>
      <xdr:colOff>1952625</xdr:colOff>
      <xdr:row>112</xdr:row>
      <xdr:rowOff>190500</xdr:rowOff>
    </xdr:to>
    <xdr:pic>
      <xdr:nvPicPr>
        <xdr:cNvPr id="4015" name="Picture 7" descr="C:\WINDOWS\TEMP\~0003946.gif">
          <a:extLst>
            <a:ext uri="{FF2B5EF4-FFF2-40B4-BE49-F238E27FC236}">
              <a16:creationId xmlns:a16="http://schemas.microsoft.com/office/drawing/2014/main" id="{00000000-0008-0000-0100-0000AF0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2907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4016" name="Picture 8" descr="C:\WINDOWS\TEMP\~0003946.gif">
          <a:extLst>
            <a:ext uri="{FF2B5EF4-FFF2-40B4-BE49-F238E27FC236}">
              <a16:creationId xmlns:a16="http://schemas.microsoft.com/office/drawing/2014/main" id="{00000000-0008-0000-0100-0000B00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2441" name="Picture 1" descr="C:\WINDOWS\TEMP\Symbol.gif">
          <a:extLst>
            <a:ext uri="{FF2B5EF4-FFF2-40B4-BE49-F238E27FC236}">
              <a16:creationId xmlns:a16="http://schemas.microsoft.com/office/drawing/2014/main" id="{00000000-0008-0000-1300-0000A95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22442" name="Picture 2" descr="C:\WINDOWS\TEMP\Symbol.gif">
          <a:extLst>
            <a:ext uri="{FF2B5EF4-FFF2-40B4-BE49-F238E27FC236}">
              <a16:creationId xmlns:a16="http://schemas.microsoft.com/office/drawing/2014/main" id="{00000000-0008-0000-1300-0000AA5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22443" name="Picture 3" descr="C:\WINDOWS\TEMP\Symbol.gif">
          <a:extLst>
            <a:ext uri="{FF2B5EF4-FFF2-40B4-BE49-F238E27FC236}">
              <a16:creationId xmlns:a16="http://schemas.microsoft.com/office/drawing/2014/main" id="{00000000-0008-0000-1300-0000AB5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22444" name="Picture 4" descr="C:\WINDOWS\TEMP\Symbol.gif">
          <a:extLst>
            <a:ext uri="{FF2B5EF4-FFF2-40B4-BE49-F238E27FC236}">
              <a16:creationId xmlns:a16="http://schemas.microsoft.com/office/drawing/2014/main" id="{00000000-0008-0000-1300-0000AC5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22445" name="Picture 5" descr="C:\WINDOWS\TEMP\~0003946.gif">
          <a:extLst>
            <a:ext uri="{FF2B5EF4-FFF2-40B4-BE49-F238E27FC236}">
              <a16:creationId xmlns:a16="http://schemas.microsoft.com/office/drawing/2014/main" id="{00000000-0008-0000-1300-0000AD5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22446" name="Picture 6" descr="C:\WINDOWS\TEMP\~0003946.gif">
          <a:extLst>
            <a:ext uri="{FF2B5EF4-FFF2-40B4-BE49-F238E27FC236}">
              <a16:creationId xmlns:a16="http://schemas.microsoft.com/office/drawing/2014/main" id="{00000000-0008-0000-1300-0000AE5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22447" name="Picture 7" descr="C:\WINDOWS\TEMP\~0003946.gif">
          <a:extLst>
            <a:ext uri="{FF2B5EF4-FFF2-40B4-BE49-F238E27FC236}">
              <a16:creationId xmlns:a16="http://schemas.microsoft.com/office/drawing/2014/main" id="{00000000-0008-0000-1300-0000AF5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2448" name="Picture 8" descr="C:\WINDOWS\TEMP\~0003946.gif">
          <a:extLst>
            <a:ext uri="{FF2B5EF4-FFF2-40B4-BE49-F238E27FC236}">
              <a16:creationId xmlns:a16="http://schemas.microsoft.com/office/drawing/2014/main" id="{00000000-0008-0000-1300-0000B05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3465" name="Picture 1" descr="C:\WINDOWS\TEMP\Symbol.gif">
          <a:extLst>
            <a:ext uri="{FF2B5EF4-FFF2-40B4-BE49-F238E27FC236}">
              <a16:creationId xmlns:a16="http://schemas.microsoft.com/office/drawing/2014/main" id="{00000000-0008-0000-1400-0000A95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23466" name="Picture 2" descr="C:\WINDOWS\TEMP\Symbol.gif">
          <a:extLst>
            <a:ext uri="{FF2B5EF4-FFF2-40B4-BE49-F238E27FC236}">
              <a16:creationId xmlns:a16="http://schemas.microsoft.com/office/drawing/2014/main" id="{00000000-0008-0000-1400-0000AA5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23467" name="Picture 3" descr="C:\WINDOWS\TEMP\Symbol.gif">
          <a:extLst>
            <a:ext uri="{FF2B5EF4-FFF2-40B4-BE49-F238E27FC236}">
              <a16:creationId xmlns:a16="http://schemas.microsoft.com/office/drawing/2014/main" id="{00000000-0008-0000-1400-0000AB5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23468" name="Picture 4" descr="C:\WINDOWS\TEMP\Symbol.gif">
          <a:extLst>
            <a:ext uri="{FF2B5EF4-FFF2-40B4-BE49-F238E27FC236}">
              <a16:creationId xmlns:a16="http://schemas.microsoft.com/office/drawing/2014/main" id="{00000000-0008-0000-1400-0000AC5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23469" name="Picture 5" descr="C:\WINDOWS\TEMP\~0003946.gif">
          <a:extLst>
            <a:ext uri="{FF2B5EF4-FFF2-40B4-BE49-F238E27FC236}">
              <a16:creationId xmlns:a16="http://schemas.microsoft.com/office/drawing/2014/main" id="{00000000-0008-0000-1400-0000AD5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23470" name="Picture 6" descr="C:\WINDOWS\TEMP\~0003946.gif">
          <a:extLst>
            <a:ext uri="{FF2B5EF4-FFF2-40B4-BE49-F238E27FC236}">
              <a16:creationId xmlns:a16="http://schemas.microsoft.com/office/drawing/2014/main" id="{00000000-0008-0000-1400-0000AE5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23471" name="Picture 7" descr="C:\WINDOWS\TEMP\~0003946.gif">
          <a:extLst>
            <a:ext uri="{FF2B5EF4-FFF2-40B4-BE49-F238E27FC236}">
              <a16:creationId xmlns:a16="http://schemas.microsoft.com/office/drawing/2014/main" id="{00000000-0008-0000-1400-0000AF5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3472" name="Picture 8" descr="C:\WINDOWS\TEMP\~0003946.gif">
          <a:extLst>
            <a:ext uri="{FF2B5EF4-FFF2-40B4-BE49-F238E27FC236}">
              <a16:creationId xmlns:a16="http://schemas.microsoft.com/office/drawing/2014/main" id="{00000000-0008-0000-1400-0000B05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4489" name="Picture 1" descr="C:\WINDOWS\TEMP\Symbol.gif">
          <a:extLst>
            <a:ext uri="{FF2B5EF4-FFF2-40B4-BE49-F238E27FC236}">
              <a16:creationId xmlns:a16="http://schemas.microsoft.com/office/drawing/2014/main" id="{00000000-0008-0000-1500-0000A95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24490" name="Picture 2" descr="C:\WINDOWS\TEMP\Symbol.gif">
          <a:extLst>
            <a:ext uri="{FF2B5EF4-FFF2-40B4-BE49-F238E27FC236}">
              <a16:creationId xmlns:a16="http://schemas.microsoft.com/office/drawing/2014/main" id="{00000000-0008-0000-1500-0000AA5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107650"/>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24491" name="Picture 3" descr="C:\WINDOWS\TEMP\Symbol.gif">
          <a:extLst>
            <a:ext uri="{FF2B5EF4-FFF2-40B4-BE49-F238E27FC236}">
              <a16:creationId xmlns:a16="http://schemas.microsoft.com/office/drawing/2014/main" id="{00000000-0008-0000-1500-0000AB5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399472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24492" name="Picture 4" descr="C:\WINDOWS\TEMP\Symbol.gif">
          <a:extLst>
            <a:ext uri="{FF2B5EF4-FFF2-40B4-BE49-F238E27FC236}">
              <a16:creationId xmlns:a16="http://schemas.microsoft.com/office/drawing/2014/main" id="{00000000-0008-0000-1500-0000AC5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48722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24493" name="Picture 5" descr="C:\WINDOWS\TEMP\~0003946.gif">
          <a:extLst>
            <a:ext uri="{FF2B5EF4-FFF2-40B4-BE49-F238E27FC236}">
              <a16:creationId xmlns:a16="http://schemas.microsoft.com/office/drawing/2014/main" id="{00000000-0008-0000-1500-0000AD5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483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24494" name="Picture 6" descr="C:\WINDOWS\TEMP\~0003946.gif">
          <a:extLst>
            <a:ext uri="{FF2B5EF4-FFF2-40B4-BE49-F238E27FC236}">
              <a16:creationId xmlns:a16="http://schemas.microsoft.com/office/drawing/2014/main" id="{00000000-0008-0000-1500-0000AE5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397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24495" name="Picture 7" descr="C:\WINDOWS\TEMP\~0003946.gif">
          <a:extLst>
            <a:ext uri="{FF2B5EF4-FFF2-40B4-BE49-F238E27FC236}">
              <a16:creationId xmlns:a16="http://schemas.microsoft.com/office/drawing/2014/main" id="{00000000-0008-0000-1500-0000AF5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107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4496" name="Picture 8" descr="C:\WINDOWS\TEMP\~0003946.gif">
          <a:extLst>
            <a:ext uri="{FF2B5EF4-FFF2-40B4-BE49-F238E27FC236}">
              <a16:creationId xmlns:a16="http://schemas.microsoft.com/office/drawing/2014/main" id="{00000000-0008-0000-1500-0000B05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5513" name="Picture 1" descr="C:\WINDOWS\TEMP\Symbol.gif">
          <a:extLst>
            <a:ext uri="{FF2B5EF4-FFF2-40B4-BE49-F238E27FC236}">
              <a16:creationId xmlns:a16="http://schemas.microsoft.com/office/drawing/2014/main" id="{00000000-0008-0000-1600-0000A96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25514" name="Picture 2" descr="C:\WINDOWS\TEMP\Symbol.gif">
          <a:extLst>
            <a:ext uri="{FF2B5EF4-FFF2-40B4-BE49-F238E27FC236}">
              <a16:creationId xmlns:a16="http://schemas.microsoft.com/office/drawing/2014/main" id="{00000000-0008-0000-1600-0000AA6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107650"/>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25515" name="Picture 3" descr="C:\WINDOWS\TEMP\Symbol.gif">
          <a:extLst>
            <a:ext uri="{FF2B5EF4-FFF2-40B4-BE49-F238E27FC236}">
              <a16:creationId xmlns:a16="http://schemas.microsoft.com/office/drawing/2014/main" id="{00000000-0008-0000-1600-0000AB6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399472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25516" name="Picture 4" descr="C:\WINDOWS\TEMP\Symbol.gif">
          <a:extLst>
            <a:ext uri="{FF2B5EF4-FFF2-40B4-BE49-F238E27FC236}">
              <a16:creationId xmlns:a16="http://schemas.microsoft.com/office/drawing/2014/main" id="{00000000-0008-0000-1600-0000AC6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48722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25517" name="Picture 5" descr="C:\WINDOWS\TEMP\~0003946.gif">
          <a:extLst>
            <a:ext uri="{FF2B5EF4-FFF2-40B4-BE49-F238E27FC236}">
              <a16:creationId xmlns:a16="http://schemas.microsoft.com/office/drawing/2014/main" id="{00000000-0008-0000-1600-0000AD6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483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25518" name="Picture 6" descr="C:\WINDOWS\TEMP\~0003946.gif">
          <a:extLst>
            <a:ext uri="{FF2B5EF4-FFF2-40B4-BE49-F238E27FC236}">
              <a16:creationId xmlns:a16="http://schemas.microsoft.com/office/drawing/2014/main" id="{00000000-0008-0000-1600-0000AE6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397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25519" name="Picture 7" descr="C:\WINDOWS\TEMP\~0003946.gif">
          <a:extLst>
            <a:ext uri="{FF2B5EF4-FFF2-40B4-BE49-F238E27FC236}">
              <a16:creationId xmlns:a16="http://schemas.microsoft.com/office/drawing/2014/main" id="{00000000-0008-0000-1600-0000AF6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107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5520" name="Picture 8" descr="C:\WINDOWS\TEMP\~0003946.gif">
          <a:extLst>
            <a:ext uri="{FF2B5EF4-FFF2-40B4-BE49-F238E27FC236}">
              <a16:creationId xmlns:a16="http://schemas.microsoft.com/office/drawing/2014/main" id="{00000000-0008-0000-1600-0000B06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6537" name="Picture 1" descr="C:\WINDOWS\TEMP\Symbol.gif">
          <a:extLst>
            <a:ext uri="{FF2B5EF4-FFF2-40B4-BE49-F238E27FC236}">
              <a16:creationId xmlns:a16="http://schemas.microsoft.com/office/drawing/2014/main" id="{00000000-0008-0000-1700-0000A96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26538" name="Picture 2" descr="C:\WINDOWS\TEMP\Symbol.gif">
          <a:extLst>
            <a:ext uri="{FF2B5EF4-FFF2-40B4-BE49-F238E27FC236}">
              <a16:creationId xmlns:a16="http://schemas.microsoft.com/office/drawing/2014/main" id="{00000000-0008-0000-1700-0000AA6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107650"/>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26539" name="Picture 3" descr="C:\WINDOWS\TEMP\Symbol.gif">
          <a:extLst>
            <a:ext uri="{FF2B5EF4-FFF2-40B4-BE49-F238E27FC236}">
              <a16:creationId xmlns:a16="http://schemas.microsoft.com/office/drawing/2014/main" id="{00000000-0008-0000-1700-0000AB6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399472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26540" name="Picture 4" descr="C:\WINDOWS\TEMP\Symbol.gif">
          <a:extLst>
            <a:ext uri="{FF2B5EF4-FFF2-40B4-BE49-F238E27FC236}">
              <a16:creationId xmlns:a16="http://schemas.microsoft.com/office/drawing/2014/main" id="{00000000-0008-0000-1700-0000AC6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48722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26541" name="Picture 5" descr="C:\WINDOWS\TEMP\~0003946.gif">
          <a:extLst>
            <a:ext uri="{FF2B5EF4-FFF2-40B4-BE49-F238E27FC236}">
              <a16:creationId xmlns:a16="http://schemas.microsoft.com/office/drawing/2014/main" id="{00000000-0008-0000-1700-0000AD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483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26542" name="Picture 6" descr="C:\WINDOWS\TEMP\~0003946.gif">
          <a:extLst>
            <a:ext uri="{FF2B5EF4-FFF2-40B4-BE49-F238E27FC236}">
              <a16:creationId xmlns:a16="http://schemas.microsoft.com/office/drawing/2014/main" id="{00000000-0008-0000-1700-0000AE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397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26543" name="Picture 7" descr="C:\WINDOWS\TEMP\~0003946.gif">
          <a:extLst>
            <a:ext uri="{FF2B5EF4-FFF2-40B4-BE49-F238E27FC236}">
              <a16:creationId xmlns:a16="http://schemas.microsoft.com/office/drawing/2014/main" id="{00000000-0008-0000-1700-0000AF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107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6544" name="Picture 8" descr="C:\WINDOWS\TEMP\~0003946.gif">
          <a:extLst>
            <a:ext uri="{FF2B5EF4-FFF2-40B4-BE49-F238E27FC236}">
              <a16:creationId xmlns:a16="http://schemas.microsoft.com/office/drawing/2014/main" id="{00000000-0008-0000-1700-0000B0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7545" name="Picture 1" descr="C:\WINDOWS\TEMP\Symbol.gif">
          <a:extLst>
            <a:ext uri="{FF2B5EF4-FFF2-40B4-BE49-F238E27FC236}">
              <a16:creationId xmlns:a16="http://schemas.microsoft.com/office/drawing/2014/main" id="{00000000-0008-0000-1800-0000996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27546" name="Picture 2" descr="C:\WINDOWS\TEMP\Symbol.gif">
          <a:extLst>
            <a:ext uri="{FF2B5EF4-FFF2-40B4-BE49-F238E27FC236}">
              <a16:creationId xmlns:a16="http://schemas.microsoft.com/office/drawing/2014/main" id="{00000000-0008-0000-1800-00009A6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107650"/>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27547" name="Picture 3" descr="C:\WINDOWS\TEMP\Symbol.gif">
          <a:extLst>
            <a:ext uri="{FF2B5EF4-FFF2-40B4-BE49-F238E27FC236}">
              <a16:creationId xmlns:a16="http://schemas.microsoft.com/office/drawing/2014/main" id="{00000000-0008-0000-1800-00009B6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399472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27548" name="Picture 4" descr="C:\WINDOWS\TEMP\Symbol.gif">
          <a:extLst>
            <a:ext uri="{FF2B5EF4-FFF2-40B4-BE49-F238E27FC236}">
              <a16:creationId xmlns:a16="http://schemas.microsoft.com/office/drawing/2014/main" id="{00000000-0008-0000-1800-00009C6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48722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27549" name="Picture 5" descr="C:\WINDOWS\TEMP\~0003946.gif">
          <a:extLst>
            <a:ext uri="{FF2B5EF4-FFF2-40B4-BE49-F238E27FC236}">
              <a16:creationId xmlns:a16="http://schemas.microsoft.com/office/drawing/2014/main" id="{00000000-0008-0000-1800-00009D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483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27550" name="Picture 6" descr="C:\WINDOWS\TEMP\~0003946.gif">
          <a:extLst>
            <a:ext uri="{FF2B5EF4-FFF2-40B4-BE49-F238E27FC236}">
              <a16:creationId xmlns:a16="http://schemas.microsoft.com/office/drawing/2014/main" id="{00000000-0008-0000-1800-00009E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397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27551" name="Picture 7" descr="C:\WINDOWS\TEMP\~0003946.gif">
          <a:extLst>
            <a:ext uri="{FF2B5EF4-FFF2-40B4-BE49-F238E27FC236}">
              <a16:creationId xmlns:a16="http://schemas.microsoft.com/office/drawing/2014/main" id="{00000000-0008-0000-1800-00009F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107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7552" name="Picture 8" descr="C:\WINDOWS\TEMP\~0003946.gif">
          <a:extLst>
            <a:ext uri="{FF2B5EF4-FFF2-40B4-BE49-F238E27FC236}">
              <a16:creationId xmlns:a16="http://schemas.microsoft.com/office/drawing/2014/main" id="{00000000-0008-0000-1800-0000A0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8545" name="Picture 1" descr="C:\WINDOWS\TEMP\Symbol.gif">
          <a:extLst>
            <a:ext uri="{FF2B5EF4-FFF2-40B4-BE49-F238E27FC236}">
              <a16:creationId xmlns:a16="http://schemas.microsoft.com/office/drawing/2014/main" id="{00000000-0008-0000-1900-000081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28546" name="Picture 2" descr="C:\WINDOWS\TEMP\Symbol.gif">
          <a:extLst>
            <a:ext uri="{FF2B5EF4-FFF2-40B4-BE49-F238E27FC236}">
              <a16:creationId xmlns:a16="http://schemas.microsoft.com/office/drawing/2014/main" id="{00000000-0008-0000-1900-000082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07650"/>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28547" name="Picture 3" descr="C:\WINDOWS\TEMP\Symbol.gif">
          <a:extLst>
            <a:ext uri="{FF2B5EF4-FFF2-40B4-BE49-F238E27FC236}">
              <a16:creationId xmlns:a16="http://schemas.microsoft.com/office/drawing/2014/main" id="{00000000-0008-0000-1900-000083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399472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28548" name="Picture 4" descr="C:\WINDOWS\TEMP\Symbol.gif">
          <a:extLst>
            <a:ext uri="{FF2B5EF4-FFF2-40B4-BE49-F238E27FC236}">
              <a16:creationId xmlns:a16="http://schemas.microsoft.com/office/drawing/2014/main" id="{00000000-0008-0000-1900-000084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48722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28549" name="Picture 5" descr="C:\WINDOWS\TEMP\~0003946.gif">
          <a:extLst>
            <a:ext uri="{FF2B5EF4-FFF2-40B4-BE49-F238E27FC236}">
              <a16:creationId xmlns:a16="http://schemas.microsoft.com/office/drawing/2014/main" id="{00000000-0008-0000-1900-0000856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483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28550" name="Picture 6" descr="C:\WINDOWS\TEMP\~0003946.gif">
          <a:extLst>
            <a:ext uri="{FF2B5EF4-FFF2-40B4-BE49-F238E27FC236}">
              <a16:creationId xmlns:a16="http://schemas.microsoft.com/office/drawing/2014/main" id="{00000000-0008-0000-1900-0000866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397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28551" name="Picture 7" descr="C:\WINDOWS\TEMP\~0003946.gif">
          <a:extLst>
            <a:ext uri="{FF2B5EF4-FFF2-40B4-BE49-F238E27FC236}">
              <a16:creationId xmlns:a16="http://schemas.microsoft.com/office/drawing/2014/main" id="{00000000-0008-0000-1900-0000876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07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8552" name="Picture 8" descr="C:\WINDOWS\TEMP\~0003946.gif">
          <a:extLst>
            <a:ext uri="{FF2B5EF4-FFF2-40B4-BE49-F238E27FC236}">
              <a16:creationId xmlns:a16="http://schemas.microsoft.com/office/drawing/2014/main" id="{00000000-0008-0000-1900-0000886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9545" name="Picture 1" descr="C:\WINDOWS\TEMP\Symbol.gif">
          <a:extLst>
            <a:ext uri="{FF2B5EF4-FFF2-40B4-BE49-F238E27FC236}">
              <a16:creationId xmlns:a16="http://schemas.microsoft.com/office/drawing/2014/main" id="{00000000-0008-0000-1A00-0000697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29546" name="Picture 2" descr="C:\WINDOWS\TEMP\Symbol.gif">
          <a:extLst>
            <a:ext uri="{FF2B5EF4-FFF2-40B4-BE49-F238E27FC236}">
              <a16:creationId xmlns:a16="http://schemas.microsoft.com/office/drawing/2014/main" id="{00000000-0008-0000-1A00-00006A7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07650"/>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29547" name="Picture 3" descr="C:\WINDOWS\TEMP\Symbol.gif">
          <a:extLst>
            <a:ext uri="{FF2B5EF4-FFF2-40B4-BE49-F238E27FC236}">
              <a16:creationId xmlns:a16="http://schemas.microsoft.com/office/drawing/2014/main" id="{00000000-0008-0000-1A00-00006B7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399472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29548" name="Picture 4" descr="C:\WINDOWS\TEMP\Symbol.gif">
          <a:extLst>
            <a:ext uri="{FF2B5EF4-FFF2-40B4-BE49-F238E27FC236}">
              <a16:creationId xmlns:a16="http://schemas.microsoft.com/office/drawing/2014/main" id="{00000000-0008-0000-1A00-00006C7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48722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29549" name="Picture 5" descr="C:\WINDOWS\TEMP\~0003946.gif">
          <a:extLst>
            <a:ext uri="{FF2B5EF4-FFF2-40B4-BE49-F238E27FC236}">
              <a16:creationId xmlns:a16="http://schemas.microsoft.com/office/drawing/2014/main" id="{00000000-0008-0000-1A00-00006D7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483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29550" name="Picture 6" descr="C:\WINDOWS\TEMP\~0003946.gif">
          <a:extLst>
            <a:ext uri="{FF2B5EF4-FFF2-40B4-BE49-F238E27FC236}">
              <a16:creationId xmlns:a16="http://schemas.microsoft.com/office/drawing/2014/main" id="{00000000-0008-0000-1A00-00006E7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397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29551" name="Picture 7" descr="C:\WINDOWS\TEMP\~0003946.gif">
          <a:extLst>
            <a:ext uri="{FF2B5EF4-FFF2-40B4-BE49-F238E27FC236}">
              <a16:creationId xmlns:a16="http://schemas.microsoft.com/office/drawing/2014/main" id="{00000000-0008-0000-1A00-00006F7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07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29552" name="Picture 8" descr="C:\WINDOWS\TEMP\~0003946.gif">
          <a:extLst>
            <a:ext uri="{FF2B5EF4-FFF2-40B4-BE49-F238E27FC236}">
              <a16:creationId xmlns:a16="http://schemas.microsoft.com/office/drawing/2014/main" id="{00000000-0008-0000-1A00-0000707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30537" name="Picture 1" descr="C:\WINDOWS\TEMP\Symbol.gif">
          <a:extLst>
            <a:ext uri="{FF2B5EF4-FFF2-40B4-BE49-F238E27FC236}">
              <a16:creationId xmlns:a16="http://schemas.microsoft.com/office/drawing/2014/main" id="{00000000-0008-0000-1B00-0000497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0538" name="Picture 2" descr="C:\WINDOWS\TEMP\Symbol.gif">
          <a:extLst>
            <a:ext uri="{FF2B5EF4-FFF2-40B4-BE49-F238E27FC236}">
              <a16:creationId xmlns:a16="http://schemas.microsoft.com/office/drawing/2014/main" id="{00000000-0008-0000-1B00-00004A7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30539" name="Picture 3" descr="C:\WINDOWS\TEMP\Symbol.gif">
          <a:extLst>
            <a:ext uri="{FF2B5EF4-FFF2-40B4-BE49-F238E27FC236}">
              <a16:creationId xmlns:a16="http://schemas.microsoft.com/office/drawing/2014/main" id="{00000000-0008-0000-1B00-00004B7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0042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30540" name="Picture 4" descr="C:\WINDOWS\TEMP\Symbol.gif">
          <a:extLst>
            <a:ext uri="{FF2B5EF4-FFF2-40B4-BE49-F238E27FC236}">
              <a16:creationId xmlns:a16="http://schemas.microsoft.com/office/drawing/2014/main" id="{00000000-0008-0000-1B00-00004C7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48818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30541" name="Picture 5" descr="C:\WINDOWS\TEMP\~0003946.gif">
          <a:extLst>
            <a:ext uri="{FF2B5EF4-FFF2-40B4-BE49-F238E27FC236}">
              <a16:creationId xmlns:a16="http://schemas.microsoft.com/office/drawing/2014/main" id="{00000000-0008-0000-1B00-00004D7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4843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30542" name="Picture 6" descr="C:\WINDOWS\TEMP\~0003946.gif">
          <a:extLst>
            <a:ext uri="{FF2B5EF4-FFF2-40B4-BE49-F238E27FC236}">
              <a16:creationId xmlns:a16="http://schemas.microsoft.com/office/drawing/2014/main" id="{00000000-0008-0000-1B00-00004E7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398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30543" name="Picture 7" descr="C:\WINDOWS\TEMP\~0003946.gif">
          <a:extLst>
            <a:ext uri="{FF2B5EF4-FFF2-40B4-BE49-F238E27FC236}">
              <a16:creationId xmlns:a16="http://schemas.microsoft.com/office/drawing/2014/main" id="{00000000-0008-0000-1B00-00004F7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30544" name="Picture 8" descr="C:\WINDOWS\TEMP\~0003946.gif">
          <a:extLst>
            <a:ext uri="{FF2B5EF4-FFF2-40B4-BE49-F238E27FC236}">
              <a16:creationId xmlns:a16="http://schemas.microsoft.com/office/drawing/2014/main" id="{00000000-0008-0000-1B00-0000507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31465" name="Picture 1" descr="C:\WINDOWS\TEMP\Symbol.gif">
          <a:extLst>
            <a:ext uri="{FF2B5EF4-FFF2-40B4-BE49-F238E27FC236}">
              <a16:creationId xmlns:a16="http://schemas.microsoft.com/office/drawing/2014/main" id="{00000000-0008-0000-1C00-0000E97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1466" name="Picture 2" descr="C:\WINDOWS\TEMP\Symbol.gif">
          <a:extLst>
            <a:ext uri="{FF2B5EF4-FFF2-40B4-BE49-F238E27FC236}">
              <a16:creationId xmlns:a16="http://schemas.microsoft.com/office/drawing/2014/main" id="{00000000-0008-0000-1C00-0000EA7A0000}"/>
            </a:ext>
          </a:extLst>
        </xdr:cNvPr>
        <xdr:cNvPicPr>
          <a:picLocks noChangeAspect="1" noChangeArrowheads="1"/>
        </xdr:cNvPicPr>
      </xdr:nvPicPr>
      <xdr:blipFill>
        <a:blip xmlns:r="http://schemas.openxmlformats.org/officeDocument/2006/relationships" r:embed="rId2" r:link="rId1"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31467" name="Picture 3" descr="C:\WINDOWS\TEMP\Symbol.gif">
          <a:extLst>
            <a:ext uri="{FF2B5EF4-FFF2-40B4-BE49-F238E27FC236}">
              <a16:creationId xmlns:a16="http://schemas.microsoft.com/office/drawing/2014/main" id="{00000000-0008-0000-1C00-0000EB7A0000}"/>
            </a:ext>
          </a:extLst>
        </xdr:cNvPr>
        <xdr:cNvPicPr>
          <a:picLocks noChangeAspect="1" noChangeArrowheads="1"/>
        </xdr:cNvPicPr>
      </xdr:nvPicPr>
      <xdr:blipFill>
        <a:blip xmlns:r="http://schemas.openxmlformats.org/officeDocument/2006/relationships" r:embed="rId2" r:link="rId1" cstate="print">
          <a:extLst>
            <a:ext uri="{28A0092B-C50C-407E-A947-70E740481C1C}">
              <a14:useLocalDpi xmlns:a14="http://schemas.microsoft.com/office/drawing/2010/main" val="0"/>
            </a:ext>
          </a:extLst>
        </a:blip>
        <a:srcRect/>
        <a:stretch>
          <a:fillRect/>
        </a:stretch>
      </xdr:blipFill>
      <xdr:spPr bwMode="auto">
        <a:xfrm>
          <a:off x="47625" y="340042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31468" name="Picture 4" descr="C:\WINDOWS\TEMP\Symbol.gif">
          <a:extLst>
            <a:ext uri="{FF2B5EF4-FFF2-40B4-BE49-F238E27FC236}">
              <a16:creationId xmlns:a16="http://schemas.microsoft.com/office/drawing/2014/main" id="{00000000-0008-0000-1C00-0000EC7A0000}"/>
            </a:ext>
          </a:extLst>
        </xdr:cNvPr>
        <xdr:cNvPicPr>
          <a:picLocks noChangeAspect="1" noChangeArrowheads="1"/>
        </xdr:cNvPicPr>
      </xdr:nvPicPr>
      <xdr:blipFill>
        <a:blip xmlns:r="http://schemas.openxmlformats.org/officeDocument/2006/relationships" r:embed="rId2" r:link="rId1" cstate="print">
          <a:extLst>
            <a:ext uri="{28A0092B-C50C-407E-A947-70E740481C1C}">
              <a14:useLocalDpi xmlns:a14="http://schemas.microsoft.com/office/drawing/2010/main" val="0"/>
            </a:ext>
          </a:extLst>
        </a:blip>
        <a:srcRect/>
        <a:stretch>
          <a:fillRect/>
        </a:stretch>
      </xdr:blipFill>
      <xdr:spPr bwMode="auto">
        <a:xfrm>
          <a:off x="9525" y="448818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31469" name="Picture 5" descr="C:\WINDOWS\TEMP\~0003946.gif">
          <a:extLst>
            <a:ext uri="{FF2B5EF4-FFF2-40B4-BE49-F238E27FC236}">
              <a16:creationId xmlns:a16="http://schemas.microsoft.com/office/drawing/2014/main" id="{00000000-0008-0000-1C00-0000ED7A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4843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31470" name="Picture 6" descr="C:\WINDOWS\TEMP\~0003946.gif">
          <a:extLst>
            <a:ext uri="{FF2B5EF4-FFF2-40B4-BE49-F238E27FC236}">
              <a16:creationId xmlns:a16="http://schemas.microsoft.com/office/drawing/2014/main" id="{00000000-0008-0000-1C00-0000EE7A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398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31471" name="Picture 7" descr="C:\WINDOWS\TEMP\~0003946.gif">
          <a:extLst>
            <a:ext uri="{FF2B5EF4-FFF2-40B4-BE49-F238E27FC236}">
              <a16:creationId xmlns:a16="http://schemas.microsoft.com/office/drawing/2014/main" id="{00000000-0008-0000-1C00-0000EF7A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31472" name="Picture 8" descr="C:\WINDOWS\TEMP\~0003946.gif">
          <a:extLst>
            <a:ext uri="{FF2B5EF4-FFF2-40B4-BE49-F238E27FC236}">
              <a16:creationId xmlns:a16="http://schemas.microsoft.com/office/drawing/2014/main" id="{00000000-0008-0000-1C00-0000F07A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5033" name="Picture 1" descr="C:\WINDOWS\TEMP\Symbol.gif">
          <a:extLst>
            <a:ext uri="{FF2B5EF4-FFF2-40B4-BE49-F238E27FC236}">
              <a16:creationId xmlns:a16="http://schemas.microsoft.com/office/drawing/2014/main" id="{00000000-0008-0000-0200-0000A91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111</xdr:row>
      <xdr:rowOff>161925</xdr:rowOff>
    </xdr:from>
    <xdr:to>
      <xdr:col>1</xdr:col>
      <xdr:colOff>19050</xdr:colOff>
      <xdr:row>112</xdr:row>
      <xdr:rowOff>200025</xdr:rowOff>
    </xdr:to>
    <xdr:pic>
      <xdr:nvPicPr>
        <xdr:cNvPr id="5034" name="Picture 2" descr="C:\WINDOWS\TEMP\Symbol.gif">
          <a:extLst>
            <a:ext uri="{FF2B5EF4-FFF2-40B4-BE49-F238E27FC236}">
              <a16:creationId xmlns:a16="http://schemas.microsoft.com/office/drawing/2014/main" id="{00000000-0008-0000-0200-0000AA1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290762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165</xdr:row>
      <xdr:rowOff>171450</xdr:rowOff>
    </xdr:from>
    <xdr:to>
      <xdr:col>1</xdr:col>
      <xdr:colOff>47625</xdr:colOff>
      <xdr:row>166</xdr:row>
      <xdr:rowOff>209550</xdr:rowOff>
    </xdr:to>
    <xdr:pic>
      <xdr:nvPicPr>
        <xdr:cNvPr id="5035" name="Picture 3" descr="C:\WINDOWS\TEMP\Symbol.gif">
          <a:extLst>
            <a:ext uri="{FF2B5EF4-FFF2-40B4-BE49-F238E27FC236}">
              <a16:creationId xmlns:a16="http://schemas.microsoft.com/office/drawing/2014/main" id="{00000000-0008-0000-0200-0000AB1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37947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219</xdr:row>
      <xdr:rowOff>161925</xdr:rowOff>
    </xdr:from>
    <xdr:to>
      <xdr:col>1</xdr:col>
      <xdr:colOff>9525</xdr:colOff>
      <xdr:row>220</xdr:row>
      <xdr:rowOff>200025</xdr:rowOff>
    </xdr:to>
    <xdr:pic>
      <xdr:nvPicPr>
        <xdr:cNvPr id="5036" name="Picture 4" descr="C:\WINDOWS\TEMP\Symbol.gif">
          <a:extLst>
            <a:ext uri="{FF2B5EF4-FFF2-40B4-BE49-F238E27FC236}">
              <a16:creationId xmlns:a16="http://schemas.microsoft.com/office/drawing/2014/main" id="{00000000-0008-0000-0200-0000AC1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446722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219</xdr:row>
      <xdr:rowOff>123825</xdr:rowOff>
    </xdr:from>
    <xdr:to>
      <xdr:col>13</xdr:col>
      <xdr:colOff>1895475</xdr:colOff>
      <xdr:row>220</xdr:row>
      <xdr:rowOff>152400</xdr:rowOff>
    </xdr:to>
    <xdr:pic>
      <xdr:nvPicPr>
        <xdr:cNvPr id="5037" name="Picture 5" descr="C:\WINDOWS\TEMP\~0003946.gif">
          <a:extLst>
            <a:ext uri="{FF2B5EF4-FFF2-40B4-BE49-F238E27FC236}">
              <a16:creationId xmlns:a16="http://schemas.microsoft.com/office/drawing/2014/main" id="{00000000-0008-0000-0200-0000AD1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4634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165</xdr:row>
      <xdr:rowOff>152400</xdr:rowOff>
    </xdr:from>
    <xdr:to>
      <xdr:col>13</xdr:col>
      <xdr:colOff>1924050</xdr:colOff>
      <xdr:row>166</xdr:row>
      <xdr:rowOff>180975</xdr:rowOff>
    </xdr:to>
    <xdr:pic>
      <xdr:nvPicPr>
        <xdr:cNvPr id="5038" name="Picture 6" descr="C:\WINDOWS\TEMP\~0003946.gif">
          <a:extLst>
            <a:ext uri="{FF2B5EF4-FFF2-40B4-BE49-F238E27FC236}">
              <a16:creationId xmlns:a16="http://schemas.microsoft.com/office/drawing/2014/main" id="{00000000-0008-0000-0200-0000AE1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3775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111</xdr:row>
      <xdr:rowOff>161925</xdr:rowOff>
    </xdr:from>
    <xdr:to>
      <xdr:col>13</xdr:col>
      <xdr:colOff>1952625</xdr:colOff>
      <xdr:row>112</xdr:row>
      <xdr:rowOff>190500</xdr:rowOff>
    </xdr:to>
    <xdr:pic>
      <xdr:nvPicPr>
        <xdr:cNvPr id="5039" name="Picture 7" descr="C:\WINDOWS\TEMP\~0003946.gif">
          <a:extLst>
            <a:ext uri="{FF2B5EF4-FFF2-40B4-BE49-F238E27FC236}">
              <a16:creationId xmlns:a16="http://schemas.microsoft.com/office/drawing/2014/main" id="{00000000-0008-0000-0200-0000AF1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2907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5040" name="Picture 8" descr="C:\WINDOWS\TEMP\~0003946.gif">
          <a:extLst>
            <a:ext uri="{FF2B5EF4-FFF2-40B4-BE49-F238E27FC236}">
              <a16:creationId xmlns:a16="http://schemas.microsoft.com/office/drawing/2014/main" id="{00000000-0008-0000-0200-0000B01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32401" name="Picture 1" descr="C:\WINDOWS\TEMP\Symbol.gif">
          <a:extLst>
            <a:ext uri="{FF2B5EF4-FFF2-40B4-BE49-F238E27FC236}">
              <a16:creationId xmlns:a16="http://schemas.microsoft.com/office/drawing/2014/main" id="{00000000-0008-0000-1D00-0000917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2402" name="Picture 2" descr="C:\WINDOWS\TEMP\Symbol.gif">
          <a:extLst>
            <a:ext uri="{FF2B5EF4-FFF2-40B4-BE49-F238E27FC236}">
              <a16:creationId xmlns:a16="http://schemas.microsoft.com/office/drawing/2014/main" id="{00000000-0008-0000-1D00-0000927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32403" name="Picture 3" descr="C:\WINDOWS\TEMP\Symbol.gif">
          <a:extLst>
            <a:ext uri="{FF2B5EF4-FFF2-40B4-BE49-F238E27FC236}">
              <a16:creationId xmlns:a16="http://schemas.microsoft.com/office/drawing/2014/main" id="{00000000-0008-0000-1D00-0000937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0042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32404" name="Picture 4" descr="C:\WINDOWS\TEMP\Symbol.gif">
          <a:extLst>
            <a:ext uri="{FF2B5EF4-FFF2-40B4-BE49-F238E27FC236}">
              <a16:creationId xmlns:a16="http://schemas.microsoft.com/office/drawing/2014/main" id="{00000000-0008-0000-1D00-0000947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48818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32405" name="Picture 5" descr="C:\WINDOWS\TEMP\~0003946.gif">
          <a:extLst>
            <a:ext uri="{FF2B5EF4-FFF2-40B4-BE49-F238E27FC236}">
              <a16:creationId xmlns:a16="http://schemas.microsoft.com/office/drawing/2014/main" id="{00000000-0008-0000-1D00-0000957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4843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32406" name="Picture 6" descr="C:\WINDOWS\TEMP\~0003946.gif">
          <a:extLst>
            <a:ext uri="{FF2B5EF4-FFF2-40B4-BE49-F238E27FC236}">
              <a16:creationId xmlns:a16="http://schemas.microsoft.com/office/drawing/2014/main" id="{00000000-0008-0000-1D00-0000967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398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32407" name="Picture 7" descr="C:\WINDOWS\TEMP\~0003946.gif">
          <a:extLst>
            <a:ext uri="{FF2B5EF4-FFF2-40B4-BE49-F238E27FC236}">
              <a16:creationId xmlns:a16="http://schemas.microsoft.com/office/drawing/2014/main" id="{00000000-0008-0000-1D00-0000977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32408" name="Picture 8" descr="C:\WINDOWS\TEMP\~0003946.gif">
          <a:extLst>
            <a:ext uri="{FF2B5EF4-FFF2-40B4-BE49-F238E27FC236}">
              <a16:creationId xmlns:a16="http://schemas.microsoft.com/office/drawing/2014/main" id="{00000000-0008-0000-1D00-0000987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33297" name="Picture 1" descr="C:\WINDOWS\TEMP\Symbol.gif">
          <a:extLst>
            <a:ext uri="{FF2B5EF4-FFF2-40B4-BE49-F238E27FC236}">
              <a16:creationId xmlns:a16="http://schemas.microsoft.com/office/drawing/2014/main" id="{00000000-0008-0000-1E00-0000118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3298" name="Picture 2" descr="C:\WINDOWS\TEMP\Symbol.gif">
          <a:extLst>
            <a:ext uri="{FF2B5EF4-FFF2-40B4-BE49-F238E27FC236}">
              <a16:creationId xmlns:a16="http://schemas.microsoft.com/office/drawing/2014/main" id="{00000000-0008-0000-1E00-0000128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166</xdr:row>
      <xdr:rowOff>171450</xdr:rowOff>
    </xdr:from>
    <xdr:to>
      <xdr:col>1</xdr:col>
      <xdr:colOff>47625</xdr:colOff>
      <xdr:row>167</xdr:row>
      <xdr:rowOff>209550</xdr:rowOff>
    </xdr:to>
    <xdr:pic>
      <xdr:nvPicPr>
        <xdr:cNvPr id="33299" name="Picture 3" descr="C:\WINDOWS\TEMP\Symbol.gif">
          <a:extLst>
            <a:ext uri="{FF2B5EF4-FFF2-40B4-BE49-F238E27FC236}">
              <a16:creationId xmlns:a16="http://schemas.microsoft.com/office/drawing/2014/main" id="{00000000-0008-0000-1E00-0000138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0042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220</xdr:row>
      <xdr:rowOff>161925</xdr:rowOff>
    </xdr:from>
    <xdr:to>
      <xdr:col>1</xdr:col>
      <xdr:colOff>9525</xdr:colOff>
      <xdr:row>221</xdr:row>
      <xdr:rowOff>200025</xdr:rowOff>
    </xdr:to>
    <xdr:pic>
      <xdr:nvPicPr>
        <xdr:cNvPr id="33300" name="Picture 4" descr="C:\WINDOWS\TEMP\Symbol.gif">
          <a:extLst>
            <a:ext uri="{FF2B5EF4-FFF2-40B4-BE49-F238E27FC236}">
              <a16:creationId xmlns:a16="http://schemas.microsoft.com/office/drawing/2014/main" id="{00000000-0008-0000-1E00-0000148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48818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220</xdr:row>
      <xdr:rowOff>123825</xdr:rowOff>
    </xdr:from>
    <xdr:to>
      <xdr:col>13</xdr:col>
      <xdr:colOff>1895475</xdr:colOff>
      <xdr:row>221</xdr:row>
      <xdr:rowOff>152400</xdr:rowOff>
    </xdr:to>
    <xdr:pic>
      <xdr:nvPicPr>
        <xdr:cNvPr id="33301" name="Picture 5" descr="C:\WINDOWS\TEMP\~0003946.gif">
          <a:extLst>
            <a:ext uri="{FF2B5EF4-FFF2-40B4-BE49-F238E27FC236}">
              <a16:creationId xmlns:a16="http://schemas.microsoft.com/office/drawing/2014/main" id="{00000000-0008-0000-1E00-0000158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4843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166</xdr:row>
      <xdr:rowOff>152400</xdr:rowOff>
    </xdr:from>
    <xdr:to>
      <xdr:col>13</xdr:col>
      <xdr:colOff>1924050</xdr:colOff>
      <xdr:row>167</xdr:row>
      <xdr:rowOff>180975</xdr:rowOff>
    </xdr:to>
    <xdr:pic>
      <xdr:nvPicPr>
        <xdr:cNvPr id="33302" name="Picture 6" descr="C:\WINDOWS\TEMP\~0003946.gif">
          <a:extLst>
            <a:ext uri="{FF2B5EF4-FFF2-40B4-BE49-F238E27FC236}">
              <a16:creationId xmlns:a16="http://schemas.microsoft.com/office/drawing/2014/main" id="{00000000-0008-0000-1E00-0000168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398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33303" name="Picture 7" descr="C:\WINDOWS\TEMP\~0003946.gif">
          <a:extLst>
            <a:ext uri="{FF2B5EF4-FFF2-40B4-BE49-F238E27FC236}">
              <a16:creationId xmlns:a16="http://schemas.microsoft.com/office/drawing/2014/main" id="{00000000-0008-0000-1E00-0000178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33304" name="Picture 8" descr="C:\WINDOWS\TEMP\~0003946.gif">
          <a:extLst>
            <a:ext uri="{FF2B5EF4-FFF2-40B4-BE49-F238E27FC236}">
              <a16:creationId xmlns:a16="http://schemas.microsoft.com/office/drawing/2014/main" id="{00000000-0008-0000-1E00-0000188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34257" name="Picture 1" descr="C:\WINDOWS\TEMP\Symbol.gif">
          <a:extLst>
            <a:ext uri="{FF2B5EF4-FFF2-40B4-BE49-F238E27FC236}">
              <a16:creationId xmlns:a16="http://schemas.microsoft.com/office/drawing/2014/main" id="{00000000-0008-0000-1F00-0000D18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4258" name="Picture 2" descr="C:\WINDOWS\TEMP\Symbol.gif">
          <a:extLst>
            <a:ext uri="{FF2B5EF4-FFF2-40B4-BE49-F238E27FC236}">
              <a16:creationId xmlns:a16="http://schemas.microsoft.com/office/drawing/2014/main" id="{00000000-0008-0000-1F00-0000D28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34259" name="Picture 3" descr="C:\WINDOWS\TEMP\Symbol.gif">
          <a:extLst>
            <a:ext uri="{FF2B5EF4-FFF2-40B4-BE49-F238E27FC236}">
              <a16:creationId xmlns:a16="http://schemas.microsoft.com/office/drawing/2014/main" id="{00000000-0008-0000-1F00-0000D38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34260" name="Picture 4" descr="C:\WINDOWS\TEMP\Symbol.gif">
          <a:extLst>
            <a:ext uri="{FF2B5EF4-FFF2-40B4-BE49-F238E27FC236}">
              <a16:creationId xmlns:a16="http://schemas.microsoft.com/office/drawing/2014/main" id="{00000000-0008-0000-1F00-0000D48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34261" name="Picture 5" descr="C:\WINDOWS\TEMP\~0003946.gif">
          <a:extLst>
            <a:ext uri="{FF2B5EF4-FFF2-40B4-BE49-F238E27FC236}">
              <a16:creationId xmlns:a16="http://schemas.microsoft.com/office/drawing/2014/main" id="{00000000-0008-0000-1F00-0000D585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34262" name="Picture 6" descr="C:\WINDOWS\TEMP\~0003946.gif">
          <a:extLst>
            <a:ext uri="{FF2B5EF4-FFF2-40B4-BE49-F238E27FC236}">
              <a16:creationId xmlns:a16="http://schemas.microsoft.com/office/drawing/2014/main" id="{00000000-0008-0000-1F00-0000D685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34263" name="Picture 7" descr="C:\WINDOWS\TEMP\~0003946.gif">
          <a:extLst>
            <a:ext uri="{FF2B5EF4-FFF2-40B4-BE49-F238E27FC236}">
              <a16:creationId xmlns:a16="http://schemas.microsoft.com/office/drawing/2014/main" id="{00000000-0008-0000-1F00-0000D785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34264" name="Picture 8" descr="C:\WINDOWS\TEMP\~0003946.gif">
          <a:extLst>
            <a:ext uri="{FF2B5EF4-FFF2-40B4-BE49-F238E27FC236}">
              <a16:creationId xmlns:a16="http://schemas.microsoft.com/office/drawing/2014/main" id="{00000000-0008-0000-1F00-0000D885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35153" name="Picture 1" descr="C:\WINDOWS\TEMP\Symbol.gif">
          <a:extLst>
            <a:ext uri="{FF2B5EF4-FFF2-40B4-BE49-F238E27FC236}">
              <a16:creationId xmlns:a16="http://schemas.microsoft.com/office/drawing/2014/main" id="{00000000-0008-0000-2000-0000518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5154" name="Picture 2" descr="C:\WINDOWS\TEMP\Symbol.gif">
          <a:extLst>
            <a:ext uri="{FF2B5EF4-FFF2-40B4-BE49-F238E27FC236}">
              <a16:creationId xmlns:a16="http://schemas.microsoft.com/office/drawing/2014/main" id="{00000000-0008-0000-2000-0000528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35155" name="Picture 3" descr="C:\WINDOWS\TEMP\Symbol.gif">
          <a:extLst>
            <a:ext uri="{FF2B5EF4-FFF2-40B4-BE49-F238E27FC236}">
              <a16:creationId xmlns:a16="http://schemas.microsoft.com/office/drawing/2014/main" id="{00000000-0008-0000-2000-0000538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35156" name="Picture 4" descr="C:\WINDOWS\TEMP\Symbol.gif">
          <a:extLst>
            <a:ext uri="{FF2B5EF4-FFF2-40B4-BE49-F238E27FC236}">
              <a16:creationId xmlns:a16="http://schemas.microsoft.com/office/drawing/2014/main" id="{00000000-0008-0000-2000-0000548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35157" name="Picture 5" descr="C:\WINDOWS\TEMP\~0003946.gif">
          <a:extLst>
            <a:ext uri="{FF2B5EF4-FFF2-40B4-BE49-F238E27FC236}">
              <a16:creationId xmlns:a16="http://schemas.microsoft.com/office/drawing/2014/main" id="{00000000-0008-0000-2000-00005589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35158" name="Picture 6" descr="C:\WINDOWS\TEMP\~0003946.gif">
          <a:extLst>
            <a:ext uri="{FF2B5EF4-FFF2-40B4-BE49-F238E27FC236}">
              <a16:creationId xmlns:a16="http://schemas.microsoft.com/office/drawing/2014/main" id="{00000000-0008-0000-2000-00005689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35159" name="Picture 7" descr="C:\WINDOWS\TEMP\~0003946.gif">
          <a:extLst>
            <a:ext uri="{FF2B5EF4-FFF2-40B4-BE49-F238E27FC236}">
              <a16:creationId xmlns:a16="http://schemas.microsoft.com/office/drawing/2014/main" id="{00000000-0008-0000-2000-00005789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35160" name="Picture 8" descr="C:\WINDOWS\TEMP\~0003946.gif">
          <a:extLst>
            <a:ext uri="{FF2B5EF4-FFF2-40B4-BE49-F238E27FC236}">
              <a16:creationId xmlns:a16="http://schemas.microsoft.com/office/drawing/2014/main" id="{00000000-0008-0000-2000-00005889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36033" name="Picture 1" descr="C:\WINDOWS\TEMP\Symbol.gif">
          <a:extLst>
            <a:ext uri="{FF2B5EF4-FFF2-40B4-BE49-F238E27FC236}">
              <a16:creationId xmlns:a16="http://schemas.microsoft.com/office/drawing/2014/main" id="{00000000-0008-0000-2100-0000C18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6034" name="Picture 2" descr="C:\WINDOWS\TEMP\Symbol.gif">
          <a:extLst>
            <a:ext uri="{FF2B5EF4-FFF2-40B4-BE49-F238E27FC236}">
              <a16:creationId xmlns:a16="http://schemas.microsoft.com/office/drawing/2014/main" id="{00000000-0008-0000-2100-0000C28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36035" name="Picture 3" descr="C:\WINDOWS\TEMP\Symbol.gif">
          <a:extLst>
            <a:ext uri="{FF2B5EF4-FFF2-40B4-BE49-F238E27FC236}">
              <a16:creationId xmlns:a16="http://schemas.microsoft.com/office/drawing/2014/main" id="{00000000-0008-0000-2100-0000C38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36036" name="Picture 4" descr="C:\WINDOWS\TEMP\Symbol.gif">
          <a:extLst>
            <a:ext uri="{FF2B5EF4-FFF2-40B4-BE49-F238E27FC236}">
              <a16:creationId xmlns:a16="http://schemas.microsoft.com/office/drawing/2014/main" id="{00000000-0008-0000-2100-0000C48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36037" name="Picture 5" descr="C:\WINDOWS\TEMP\~0003946.gif">
          <a:extLst>
            <a:ext uri="{FF2B5EF4-FFF2-40B4-BE49-F238E27FC236}">
              <a16:creationId xmlns:a16="http://schemas.microsoft.com/office/drawing/2014/main" id="{00000000-0008-0000-2100-0000C58C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36038" name="Picture 6" descr="C:\WINDOWS\TEMP\~0003946.gif">
          <a:extLst>
            <a:ext uri="{FF2B5EF4-FFF2-40B4-BE49-F238E27FC236}">
              <a16:creationId xmlns:a16="http://schemas.microsoft.com/office/drawing/2014/main" id="{00000000-0008-0000-2100-0000C68C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36039" name="Picture 7" descr="C:\WINDOWS\TEMP\~0003946.gif">
          <a:extLst>
            <a:ext uri="{FF2B5EF4-FFF2-40B4-BE49-F238E27FC236}">
              <a16:creationId xmlns:a16="http://schemas.microsoft.com/office/drawing/2014/main" id="{00000000-0008-0000-2100-0000C78C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36040" name="Picture 8" descr="C:\WINDOWS\TEMP\~0003946.gif">
          <a:extLst>
            <a:ext uri="{FF2B5EF4-FFF2-40B4-BE49-F238E27FC236}">
              <a16:creationId xmlns:a16="http://schemas.microsoft.com/office/drawing/2014/main" id="{00000000-0008-0000-2100-0000C88C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36929" name="Picture 1" descr="C:\WINDOWS\TEMP\Symbol.gif">
          <a:extLst>
            <a:ext uri="{FF2B5EF4-FFF2-40B4-BE49-F238E27FC236}">
              <a16:creationId xmlns:a16="http://schemas.microsoft.com/office/drawing/2014/main" id="{00000000-0008-0000-2200-0000419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6930" name="Picture 2" descr="C:\WINDOWS\TEMP\Symbol.gif">
          <a:extLst>
            <a:ext uri="{FF2B5EF4-FFF2-40B4-BE49-F238E27FC236}">
              <a16:creationId xmlns:a16="http://schemas.microsoft.com/office/drawing/2014/main" id="{00000000-0008-0000-2200-0000429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36931" name="Picture 3" descr="C:\WINDOWS\TEMP\Symbol.gif">
          <a:extLst>
            <a:ext uri="{FF2B5EF4-FFF2-40B4-BE49-F238E27FC236}">
              <a16:creationId xmlns:a16="http://schemas.microsoft.com/office/drawing/2014/main" id="{00000000-0008-0000-2200-0000439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36932" name="Picture 4" descr="C:\WINDOWS\TEMP\Symbol.gif">
          <a:extLst>
            <a:ext uri="{FF2B5EF4-FFF2-40B4-BE49-F238E27FC236}">
              <a16:creationId xmlns:a16="http://schemas.microsoft.com/office/drawing/2014/main" id="{00000000-0008-0000-2200-0000449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36933" name="Picture 5" descr="C:\WINDOWS\TEMP\~0003946.gif">
          <a:extLst>
            <a:ext uri="{FF2B5EF4-FFF2-40B4-BE49-F238E27FC236}">
              <a16:creationId xmlns:a16="http://schemas.microsoft.com/office/drawing/2014/main" id="{00000000-0008-0000-2200-0000459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36934" name="Picture 6" descr="C:\WINDOWS\TEMP\~0003946.gif">
          <a:extLst>
            <a:ext uri="{FF2B5EF4-FFF2-40B4-BE49-F238E27FC236}">
              <a16:creationId xmlns:a16="http://schemas.microsoft.com/office/drawing/2014/main" id="{00000000-0008-0000-2200-0000469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36935" name="Picture 7" descr="C:\WINDOWS\TEMP\~0003946.gif">
          <a:extLst>
            <a:ext uri="{FF2B5EF4-FFF2-40B4-BE49-F238E27FC236}">
              <a16:creationId xmlns:a16="http://schemas.microsoft.com/office/drawing/2014/main" id="{00000000-0008-0000-2200-0000479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36936" name="Picture 8" descr="C:\WINDOWS\TEMP\~0003946.gif">
          <a:extLst>
            <a:ext uri="{FF2B5EF4-FFF2-40B4-BE49-F238E27FC236}">
              <a16:creationId xmlns:a16="http://schemas.microsoft.com/office/drawing/2014/main" id="{00000000-0008-0000-2200-0000489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6057" name="Picture 1" descr="C:\WINDOWS\TEMP\Symbol.gif">
          <a:extLst>
            <a:ext uri="{FF2B5EF4-FFF2-40B4-BE49-F238E27FC236}">
              <a16:creationId xmlns:a16="http://schemas.microsoft.com/office/drawing/2014/main" id="{00000000-0008-0000-0300-0000A91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6058" name="Picture 2" descr="C:\WINDOWS\TEMP\Symbol.gif">
          <a:extLst>
            <a:ext uri="{FF2B5EF4-FFF2-40B4-BE49-F238E27FC236}">
              <a16:creationId xmlns:a16="http://schemas.microsoft.com/office/drawing/2014/main" id="{00000000-0008-0000-0300-0000AA1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6059" name="Picture 3" descr="C:\WINDOWS\TEMP\Symbol.gif">
          <a:extLst>
            <a:ext uri="{FF2B5EF4-FFF2-40B4-BE49-F238E27FC236}">
              <a16:creationId xmlns:a16="http://schemas.microsoft.com/office/drawing/2014/main" id="{00000000-0008-0000-0300-0000AB1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6060" name="Picture 4" descr="C:\WINDOWS\TEMP\Symbol.gif">
          <a:extLst>
            <a:ext uri="{FF2B5EF4-FFF2-40B4-BE49-F238E27FC236}">
              <a16:creationId xmlns:a16="http://schemas.microsoft.com/office/drawing/2014/main" id="{00000000-0008-0000-0300-0000AC1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6061" name="Picture 5" descr="C:\WINDOWS\TEMP\~0003946.gif">
          <a:extLst>
            <a:ext uri="{FF2B5EF4-FFF2-40B4-BE49-F238E27FC236}">
              <a16:creationId xmlns:a16="http://schemas.microsoft.com/office/drawing/2014/main" id="{00000000-0008-0000-0300-0000AD1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6062" name="Picture 6" descr="C:\WINDOWS\TEMP\~0003946.gif">
          <a:extLst>
            <a:ext uri="{FF2B5EF4-FFF2-40B4-BE49-F238E27FC236}">
              <a16:creationId xmlns:a16="http://schemas.microsoft.com/office/drawing/2014/main" id="{00000000-0008-0000-0300-0000AE1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6063" name="Picture 7" descr="C:\WINDOWS\TEMP\~0003946.gif">
          <a:extLst>
            <a:ext uri="{FF2B5EF4-FFF2-40B4-BE49-F238E27FC236}">
              <a16:creationId xmlns:a16="http://schemas.microsoft.com/office/drawing/2014/main" id="{00000000-0008-0000-0300-0000AF1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6064" name="Picture 8" descr="C:\WINDOWS\TEMP\~0003946.gif">
          <a:extLst>
            <a:ext uri="{FF2B5EF4-FFF2-40B4-BE49-F238E27FC236}">
              <a16:creationId xmlns:a16="http://schemas.microsoft.com/office/drawing/2014/main" id="{00000000-0008-0000-0300-0000B01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21450"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50025"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21450"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50025"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21450"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50025"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D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21450"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50025"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E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222</xdr:row>
      <xdr:rowOff>161925</xdr:rowOff>
    </xdr:from>
    <xdr:to>
      <xdr:col>1</xdr:col>
      <xdr:colOff>9525</xdr:colOff>
      <xdr:row>223</xdr:row>
      <xdr:rowOff>200025</xdr:rowOff>
    </xdr:to>
    <xdr:pic>
      <xdr:nvPicPr>
        <xdr:cNvPr id="5" name="Picture 4" descr="C:\WINDOWS\TEMP\Symbol.gif">
          <a:extLst>
            <a:ext uri="{FF2B5EF4-FFF2-40B4-BE49-F238E27FC236}">
              <a16:creationId xmlns:a16="http://schemas.microsoft.com/office/drawing/2014/main" id="{00000000-0008-0000-2E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222</xdr:row>
      <xdr:rowOff>123825</xdr:rowOff>
    </xdr:from>
    <xdr:to>
      <xdr:col>13</xdr:col>
      <xdr:colOff>1895475</xdr:colOff>
      <xdr:row>223</xdr:row>
      <xdr:rowOff>152400</xdr:rowOff>
    </xdr:to>
    <xdr:pic>
      <xdr:nvPicPr>
        <xdr:cNvPr id="6" name="Picture 5" descr="C:\WINDOWS\TEMP\~0003946.gif">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21450"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50025"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E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E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5" name="Picture 4" descr="C:\WINDOWS\TEMP\Symbol.gif">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2818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6" name="Picture 5" descr="C:\WINDOWS\TEMP\~0003946.gif">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21450" y="45243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50025"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93DF3B34-0F96-4899-8E06-515AFB7FEEE4}"/>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0BE2A357-A105-41E2-AD17-009B6A141A32}"/>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673F3F87-654A-4261-AF9E-5582F1556437}"/>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5" name="Picture 4" descr="C:\WINDOWS\TEMP\Symbol.gif">
          <a:extLst>
            <a:ext uri="{FF2B5EF4-FFF2-40B4-BE49-F238E27FC236}">
              <a16:creationId xmlns:a16="http://schemas.microsoft.com/office/drawing/2014/main" id="{C23A723C-7A27-4A03-BCE8-A3DD4D95928B}"/>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08182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6" name="Picture 5" descr="C:\WINDOWS\TEMP\~0003946.gif">
          <a:extLst>
            <a:ext uri="{FF2B5EF4-FFF2-40B4-BE49-F238E27FC236}">
              <a16:creationId xmlns:a16="http://schemas.microsoft.com/office/drawing/2014/main" id="{0010CC64-6E4E-4D7E-9E87-F00572AD738D}"/>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21450" y="45043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F9A988E5-486F-431F-B685-02140DBB9523}"/>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50025"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6F204BA4-843E-402A-A019-74D8567A79B5}"/>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46D46045-68DE-4C3C-8815-8FD873C8808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7081" name="Picture 1" descr="C:\WINDOWS\TEMP\Symbol.gif">
          <a:extLst>
            <a:ext uri="{FF2B5EF4-FFF2-40B4-BE49-F238E27FC236}">
              <a16:creationId xmlns:a16="http://schemas.microsoft.com/office/drawing/2014/main" id="{00000000-0008-0000-0400-0000A91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7082" name="Picture 2" descr="C:\WINDOWS\TEMP\Symbol.gif">
          <a:extLst>
            <a:ext uri="{FF2B5EF4-FFF2-40B4-BE49-F238E27FC236}">
              <a16:creationId xmlns:a16="http://schemas.microsoft.com/office/drawing/2014/main" id="{00000000-0008-0000-0400-0000AA1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7083" name="Picture 3" descr="C:\WINDOWS\TEMP\Symbol.gif">
          <a:extLst>
            <a:ext uri="{FF2B5EF4-FFF2-40B4-BE49-F238E27FC236}">
              <a16:creationId xmlns:a16="http://schemas.microsoft.com/office/drawing/2014/main" id="{00000000-0008-0000-0400-0000AB1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7084" name="Picture 4" descr="C:\WINDOWS\TEMP\Symbol.gif">
          <a:extLst>
            <a:ext uri="{FF2B5EF4-FFF2-40B4-BE49-F238E27FC236}">
              <a16:creationId xmlns:a16="http://schemas.microsoft.com/office/drawing/2014/main" id="{00000000-0008-0000-0400-0000AC1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7085" name="Picture 5" descr="C:\WINDOWS\TEMP\~0003946.gif">
          <a:extLst>
            <a:ext uri="{FF2B5EF4-FFF2-40B4-BE49-F238E27FC236}">
              <a16:creationId xmlns:a16="http://schemas.microsoft.com/office/drawing/2014/main" id="{00000000-0008-0000-0400-0000AD1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7086" name="Picture 6" descr="C:\WINDOWS\TEMP\~0003946.gif">
          <a:extLst>
            <a:ext uri="{FF2B5EF4-FFF2-40B4-BE49-F238E27FC236}">
              <a16:creationId xmlns:a16="http://schemas.microsoft.com/office/drawing/2014/main" id="{00000000-0008-0000-0400-0000AE1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7087" name="Picture 7" descr="C:\WINDOWS\TEMP\~0003946.gif">
          <a:extLst>
            <a:ext uri="{FF2B5EF4-FFF2-40B4-BE49-F238E27FC236}">
              <a16:creationId xmlns:a16="http://schemas.microsoft.com/office/drawing/2014/main" id="{00000000-0008-0000-0400-0000AF1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7088" name="Picture 8" descr="C:\WINDOWS\TEMP\~0003946.gif">
          <a:extLst>
            <a:ext uri="{FF2B5EF4-FFF2-40B4-BE49-F238E27FC236}">
              <a16:creationId xmlns:a16="http://schemas.microsoft.com/office/drawing/2014/main" id="{00000000-0008-0000-0400-0000B01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2" name="Picture 1" descr="C:\WINDOWS\TEMP\Symbol.gif">
          <a:extLst>
            <a:ext uri="{FF2B5EF4-FFF2-40B4-BE49-F238E27FC236}">
              <a16:creationId xmlns:a16="http://schemas.microsoft.com/office/drawing/2014/main" id="{7538EB09-9264-44E5-911C-E3D41F9C9AB3}"/>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9657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112</xdr:row>
      <xdr:rowOff>161925</xdr:rowOff>
    </xdr:from>
    <xdr:to>
      <xdr:col>1</xdr:col>
      <xdr:colOff>19050</xdr:colOff>
      <xdr:row>113</xdr:row>
      <xdr:rowOff>200025</xdr:rowOff>
    </xdr:to>
    <xdr:pic>
      <xdr:nvPicPr>
        <xdr:cNvPr id="3" name="Picture 2" descr="C:\WINDOWS\TEMP\Symbol.gif">
          <a:extLst>
            <a:ext uri="{FF2B5EF4-FFF2-40B4-BE49-F238E27FC236}">
              <a16:creationId xmlns:a16="http://schemas.microsoft.com/office/drawing/2014/main" id="{15E81B3B-4FDC-485A-9CAA-AD8011AF342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1171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168</xdr:row>
      <xdr:rowOff>171450</xdr:rowOff>
    </xdr:from>
    <xdr:to>
      <xdr:col>1</xdr:col>
      <xdr:colOff>47625</xdr:colOff>
      <xdr:row>169</xdr:row>
      <xdr:rowOff>209550</xdr:rowOff>
    </xdr:to>
    <xdr:pic>
      <xdr:nvPicPr>
        <xdr:cNvPr id="4" name="Picture 3" descr="C:\WINDOWS\TEMP\Symbol.gif">
          <a:extLst>
            <a:ext uri="{FF2B5EF4-FFF2-40B4-BE49-F238E27FC236}">
              <a16:creationId xmlns:a16="http://schemas.microsoft.com/office/drawing/2014/main" id="{651E0BAA-7A09-4DFB-AFE9-DB1E623BEFF8}"/>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404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5" name="Picture 4" descr="C:\WINDOWS\TEMP\Symbol.gif">
          <a:extLst>
            <a:ext uri="{FF2B5EF4-FFF2-40B4-BE49-F238E27FC236}">
              <a16:creationId xmlns:a16="http://schemas.microsoft.com/office/drawing/2014/main" id="{9AD50703-43C6-4A09-B5FD-D8D6CAFD2A62}"/>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081825"/>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6" name="Picture 5" descr="C:\WINDOWS\TEMP\~0003946.gif">
          <a:extLst>
            <a:ext uri="{FF2B5EF4-FFF2-40B4-BE49-F238E27FC236}">
              <a16:creationId xmlns:a16="http://schemas.microsoft.com/office/drawing/2014/main" id="{9DFAE9B2-4D40-4AD6-9717-A09291062052}"/>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21450" y="45043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168</xdr:row>
      <xdr:rowOff>152400</xdr:rowOff>
    </xdr:from>
    <xdr:to>
      <xdr:col>13</xdr:col>
      <xdr:colOff>1924050</xdr:colOff>
      <xdr:row>169</xdr:row>
      <xdr:rowOff>180975</xdr:rowOff>
    </xdr:to>
    <xdr:pic>
      <xdr:nvPicPr>
        <xdr:cNvPr id="7" name="Picture 6" descr="C:\WINDOWS\TEMP\~0003946.gif">
          <a:extLst>
            <a:ext uri="{FF2B5EF4-FFF2-40B4-BE49-F238E27FC236}">
              <a16:creationId xmlns:a16="http://schemas.microsoft.com/office/drawing/2014/main" id="{FDC9A40D-F74B-404F-B322-46832DA2CDA8}"/>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50025" y="34385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112</xdr:row>
      <xdr:rowOff>161925</xdr:rowOff>
    </xdr:from>
    <xdr:to>
      <xdr:col>13</xdr:col>
      <xdr:colOff>1952625</xdr:colOff>
      <xdr:row>113</xdr:row>
      <xdr:rowOff>190500</xdr:rowOff>
    </xdr:to>
    <xdr:pic>
      <xdr:nvPicPr>
        <xdr:cNvPr id="8" name="Picture 7" descr="C:\WINDOWS\TEMP\~0003946.gif">
          <a:extLst>
            <a:ext uri="{FF2B5EF4-FFF2-40B4-BE49-F238E27FC236}">
              <a16:creationId xmlns:a16="http://schemas.microsoft.com/office/drawing/2014/main" id="{952BD44B-4F3D-4B5B-A12C-420E18E9927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23117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 name="Picture 8" descr="C:\WINDOWS\TEMP\~0003946.gif">
          <a:extLst>
            <a:ext uri="{FF2B5EF4-FFF2-40B4-BE49-F238E27FC236}">
              <a16:creationId xmlns:a16="http://schemas.microsoft.com/office/drawing/2014/main" id="{F4C5D402-2628-4EF6-A24F-57374F5337D3}"/>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78600" y="1066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68036</xdr:colOff>
      <xdr:row>221</xdr:row>
      <xdr:rowOff>87557</xdr:rowOff>
    </xdr:from>
    <xdr:to>
      <xdr:col>0</xdr:col>
      <xdr:colOff>285750</xdr:colOff>
      <xdr:row>222</xdr:row>
      <xdr:rowOff>171144</xdr:rowOff>
    </xdr:to>
    <xdr:pic>
      <xdr:nvPicPr>
        <xdr:cNvPr id="10" name="Picture 9">
          <a:extLst>
            <a:ext uri="{FF2B5EF4-FFF2-40B4-BE49-F238E27FC236}">
              <a16:creationId xmlns:a16="http://schemas.microsoft.com/office/drawing/2014/main" id="{CB515397-28CE-4400-A099-A2AAD78A921A}"/>
            </a:ext>
          </a:extLst>
        </xdr:cNvPr>
        <xdr:cNvPicPr>
          <a:picLocks noChangeAspect="1"/>
        </xdr:cNvPicPr>
      </xdr:nvPicPr>
      <xdr:blipFill>
        <a:blip xmlns:r="http://schemas.openxmlformats.org/officeDocument/2006/relationships" r:embed="rId1"/>
        <a:stretch>
          <a:fillRect/>
        </a:stretch>
      </xdr:blipFill>
      <xdr:spPr>
        <a:xfrm>
          <a:off x="68036" y="45848378"/>
          <a:ext cx="217714" cy="287694"/>
        </a:xfrm>
        <a:prstGeom prst="rect">
          <a:avLst/>
        </a:prstGeom>
      </xdr:spPr>
    </xdr:pic>
    <xdr:clientData/>
  </xdr:twoCellAnchor>
  <xdr:twoCellAnchor editAs="oneCell">
    <xdr:from>
      <xdr:col>0</xdr:col>
      <xdr:colOff>176893</xdr:colOff>
      <xdr:row>168</xdr:row>
      <xdr:rowOff>122464</xdr:rowOff>
    </xdr:from>
    <xdr:to>
      <xdr:col>0</xdr:col>
      <xdr:colOff>347596</xdr:colOff>
      <xdr:row>169</xdr:row>
      <xdr:rowOff>143929</xdr:rowOff>
    </xdr:to>
    <xdr:pic>
      <xdr:nvPicPr>
        <xdr:cNvPr id="11" name="Picture 10">
          <a:extLst>
            <a:ext uri="{FF2B5EF4-FFF2-40B4-BE49-F238E27FC236}">
              <a16:creationId xmlns:a16="http://schemas.microsoft.com/office/drawing/2014/main" id="{70DE265D-25C5-4CAA-AB43-A341AE1DE0C6}"/>
            </a:ext>
          </a:extLst>
        </xdr:cNvPr>
        <xdr:cNvPicPr>
          <a:picLocks noChangeAspect="1"/>
        </xdr:cNvPicPr>
      </xdr:nvPicPr>
      <xdr:blipFill>
        <a:blip xmlns:r="http://schemas.openxmlformats.org/officeDocument/2006/relationships" r:embed="rId1"/>
        <a:stretch>
          <a:fillRect/>
        </a:stretch>
      </xdr:blipFill>
      <xdr:spPr>
        <a:xfrm>
          <a:off x="176893" y="34983964"/>
          <a:ext cx="170703" cy="225572"/>
        </a:xfrm>
        <a:prstGeom prst="rect">
          <a:avLst/>
        </a:prstGeom>
      </xdr:spPr>
    </xdr:pic>
    <xdr:clientData/>
  </xdr:twoCellAnchor>
  <xdr:twoCellAnchor editAs="oneCell">
    <xdr:from>
      <xdr:col>0</xdr:col>
      <xdr:colOff>136071</xdr:colOff>
      <xdr:row>112</xdr:row>
      <xdr:rowOff>136071</xdr:rowOff>
    </xdr:from>
    <xdr:to>
      <xdr:col>0</xdr:col>
      <xdr:colOff>306774</xdr:colOff>
      <xdr:row>113</xdr:row>
      <xdr:rowOff>157536</xdr:rowOff>
    </xdr:to>
    <xdr:pic>
      <xdr:nvPicPr>
        <xdr:cNvPr id="12" name="Picture 11">
          <a:extLst>
            <a:ext uri="{FF2B5EF4-FFF2-40B4-BE49-F238E27FC236}">
              <a16:creationId xmlns:a16="http://schemas.microsoft.com/office/drawing/2014/main" id="{9B13C1A7-3E2D-4461-9A55-A65C48431B02}"/>
            </a:ext>
          </a:extLst>
        </xdr:cNvPr>
        <xdr:cNvPicPr>
          <a:picLocks noChangeAspect="1"/>
        </xdr:cNvPicPr>
      </xdr:nvPicPr>
      <xdr:blipFill>
        <a:blip xmlns:r="http://schemas.openxmlformats.org/officeDocument/2006/relationships" r:embed="rId1"/>
        <a:stretch>
          <a:fillRect/>
        </a:stretch>
      </xdr:blipFill>
      <xdr:spPr>
        <a:xfrm>
          <a:off x="136071" y="23526750"/>
          <a:ext cx="170703" cy="225572"/>
        </a:xfrm>
        <a:prstGeom prst="rect">
          <a:avLst/>
        </a:prstGeom>
      </xdr:spPr>
    </xdr:pic>
    <xdr:clientData/>
  </xdr:twoCellAnchor>
  <xdr:twoCellAnchor editAs="oneCell">
    <xdr:from>
      <xdr:col>0</xdr:col>
      <xdr:colOff>176893</xdr:colOff>
      <xdr:row>52</xdr:row>
      <xdr:rowOff>122465</xdr:rowOff>
    </xdr:from>
    <xdr:to>
      <xdr:col>0</xdr:col>
      <xdr:colOff>347596</xdr:colOff>
      <xdr:row>53</xdr:row>
      <xdr:rowOff>143930</xdr:rowOff>
    </xdr:to>
    <xdr:pic>
      <xdr:nvPicPr>
        <xdr:cNvPr id="13" name="Picture 12">
          <a:extLst>
            <a:ext uri="{FF2B5EF4-FFF2-40B4-BE49-F238E27FC236}">
              <a16:creationId xmlns:a16="http://schemas.microsoft.com/office/drawing/2014/main" id="{23B4131B-B68E-41F2-AB17-D04F1AF88597}"/>
            </a:ext>
          </a:extLst>
        </xdr:cNvPr>
        <xdr:cNvPicPr>
          <a:picLocks noChangeAspect="1"/>
        </xdr:cNvPicPr>
      </xdr:nvPicPr>
      <xdr:blipFill>
        <a:blip xmlns:r="http://schemas.openxmlformats.org/officeDocument/2006/relationships" r:embed="rId1"/>
        <a:stretch>
          <a:fillRect/>
        </a:stretch>
      </xdr:blipFill>
      <xdr:spPr>
        <a:xfrm>
          <a:off x="176893" y="10831286"/>
          <a:ext cx="170703" cy="225572"/>
        </a:xfrm>
        <a:prstGeom prst="rect">
          <a:avLst/>
        </a:prstGeom>
      </xdr:spPr>
    </xdr:pic>
    <xdr:clientData/>
  </xdr:twoCellAnchor>
  <xdr:twoCellAnchor editAs="oneCell">
    <xdr:from>
      <xdr:col>13</xdr:col>
      <xdr:colOff>830036</xdr:colOff>
      <xdr:row>52</xdr:row>
      <xdr:rowOff>54429</xdr:rowOff>
    </xdr:from>
    <xdr:to>
      <xdr:col>13</xdr:col>
      <xdr:colOff>1714033</xdr:colOff>
      <xdr:row>53</xdr:row>
      <xdr:rowOff>155148</xdr:rowOff>
    </xdr:to>
    <xdr:pic>
      <xdr:nvPicPr>
        <xdr:cNvPr id="14" name="Picture 13">
          <a:extLst>
            <a:ext uri="{FF2B5EF4-FFF2-40B4-BE49-F238E27FC236}">
              <a16:creationId xmlns:a16="http://schemas.microsoft.com/office/drawing/2014/main" id="{CD174BA1-8EC3-473F-8756-3EBB7BFA4E04}"/>
            </a:ext>
          </a:extLst>
        </xdr:cNvPr>
        <xdr:cNvPicPr>
          <a:picLocks noChangeAspect="1"/>
        </xdr:cNvPicPr>
      </xdr:nvPicPr>
      <xdr:blipFill>
        <a:blip xmlns:r="http://schemas.openxmlformats.org/officeDocument/2006/relationships" r:embed="rId2"/>
        <a:stretch>
          <a:fillRect/>
        </a:stretch>
      </xdr:blipFill>
      <xdr:spPr>
        <a:xfrm>
          <a:off x="18941143" y="10763250"/>
          <a:ext cx="883997" cy="304826"/>
        </a:xfrm>
        <a:prstGeom prst="rect">
          <a:avLst/>
        </a:prstGeom>
      </xdr:spPr>
    </xdr:pic>
    <xdr:clientData/>
  </xdr:twoCellAnchor>
  <xdr:twoCellAnchor editAs="oneCell">
    <xdr:from>
      <xdr:col>13</xdr:col>
      <xdr:colOff>843643</xdr:colOff>
      <xdr:row>112</xdr:row>
      <xdr:rowOff>54428</xdr:rowOff>
    </xdr:from>
    <xdr:to>
      <xdr:col>13</xdr:col>
      <xdr:colOff>1727640</xdr:colOff>
      <xdr:row>113</xdr:row>
      <xdr:rowOff>155147</xdr:rowOff>
    </xdr:to>
    <xdr:pic>
      <xdr:nvPicPr>
        <xdr:cNvPr id="15" name="Picture 14">
          <a:extLst>
            <a:ext uri="{FF2B5EF4-FFF2-40B4-BE49-F238E27FC236}">
              <a16:creationId xmlns:a16="http://schemas.microsoft.com/office/drawing/2014/main" id="{E1B70B50-60D6-433D-B66E-946E03AF8AFD}"/>
            </a:ext>
          </a:extLst>
        </xdr:cNvPr>
        <xdr:cNvPicPr>
          <a:picLocks noChangeAspect="1"/>
        </xdr:cNvPicPr>
      </xdr:nvPicPr>
      <xdr:blipFill>
        <a:blip xmlns:r="http://schemas.openxmlformats.org/officeDocument/2006/relationships" r:embed="rId2"/>
        <a:stretch>
          <a:fillRect/>
        </a:stretch>
      </xdr:blipFill>
      <xdr:spPr>
        <a:xfrm>
          <a:off x="18954750" y="23445107"/>
          <a:ext cx="883997" cy="304826"/>
        </a:xfrm>
        <a:prstGeom prst="rect">
          <a:avLst/>
        </a:prstGeom>
      </xdr:spPr>
    </xdr:pic>
    <xdr:clientData/>
  </xdr:twoCellAnchor>
  <xdr:twoCellAnchor editAs="oneCell">
    <xdr:from>
      <xdr:col>13</xdr:col>
      <xdr:colOff>816429</xdr:colOff>
      <xdr:row>168</xdr:row>
      <xdr:rowOff>81643</xdr:rowOff>
    </xdr:from>
    <xdr:to>
      <xdr:col>13</xdr:col>
      <xdr:colOff>1700426</xdr:colOff>
      <xdr:row>169</xdr:row>
      <xdr:rowOff>182362</xdr:rowOff>
    </xdr:to>
    <xdr:pic>
      <xdr:nvPicPr>
        <xdr:cNvPr id="17" name="Picture 16">
          <a:extLst>
            <a:ext uri="{FF2B5EF4-FFF2-40B4-BE49-F238E27FC236}">
              <a16:creationId xmlns:a16="http://schemas.microsoft.com/office/drawing/2014/main" id="{8FA7B37A-FE41-4FBD-BA66-D8E739118B9F}"/>
            </a:ext>
          </a:extLst>
        </xdr:cNvPr>
        <xdr:cNvPicPr>
          <a:picLocks noChangeAspect="1"/>
        </xdr:cNvPicPr>
      </xdr:nvPicPr>
      <xdr:blipFill>
        <a:blip xmlns:r="http://schemas.openxmlformats.org/officeDocument/2006/relationships" r:embed="rId2"/>
        <a:stretch>
          <a:fillRect/>
        </a:stretch>
      </xdr:blipFill>
      <xdr:spPr>
        <a:xfrm>
          <a:off x="18927536" y="34943143"/>
          <a:ext cx="883997" cy="304826"/>
        </a:xfrm>
        <a:prstGeom prst="rect">
          <a:avLst/>
        </a:prstGeom>
      </xdr:spPr>
    </xdr:pic>
    <xdr:clientData/>
  </xdr:twoCellAnchor>
  <xdr:twoCellAnchor editAs="oneCell">
    <xdr:from>
      <xdr:col>13</xdr:col>
      <xdr:colOff>938893</xdr:colOff>
      <xdr:row>221</xdr:row>
      <xdr:rowOff>27215</xdr:rowOff>
    </xdr:from>
    <xdr:to>
      <xdr:col>13</xdr:col>
      <xdr:colOff>1822890</xdr:colOff>
      <xdr:row>222</xdr:row>
      <xdr:rowOff>127934</xdr:rowOff>
    </xdr:to>
    <xdr:pic>
      <xdr:nvPicPr>
        <xdr:cNvPr id="18" name="Picture 17">
          <a:extLst>
            <a:ext uri="{FF2B5EF4-FFF2-40B4-BE49-F238E27FC236}">
              <a16:creationId xmlns:a16="http://schemas.microsoft.com/office/drawing/2014/main" id="{0C66D413-8FB4-4A9F-8F1D-C902EB195897}"/>
            </a:ext>
          </a:extLst>
        </xdr:cNvPr>
        <xdr:cNvPicPr>
          <a:picLocks noChangeAspect="1"/>
        </xdr:cNvPicPr>
      </xdr:nvPicPr>
      <xdr:blipFill>
        <a:blip xmlns:r="http://schemas.openxmlformats.org/officeDocument/2006/relationships" r:embed="rId2"/>
        <a:stretch>
          <a:fillRect/>
        </a:stretch>
      </xdr:blipFill>
      <xdr:spPr>
        <a:xfrm>
          <a:off x="19050000" y="45788036"/>
          <a:ext cx="883997" cy="30482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68036</xdr:colOff>
      <xdr:row>221</xdr:row>
      <xdr:rowOff>87557</xdr:rowOff>
    </xdr:from>
    <xdr:to>
      <xdr:col>0</xdr:col>
      <xdr:colOff>285750</xdr:colOff>
      <xdr:row>222</xdr:row>
      <xdr:rowOff>171144</xdr:rowOff>
    </xdr:to>
    <xdr:pic>
      <xdr:nvPicPr>
        <xdr:cNvPr id="2" name="Picture 1">
          <a:extLst>
            <a:ext uri="{FF2B5EF4-FFF2-40B4-BE49-F238E27FC236}">
              <a16:creationId xmlns:a16="http://schemas.microsoft.com/office/drawing/2014/main" id="{2AC16A86-E31A-446B-8813-215C33876F2D}"/>
            </a:ext>
          </a:extLst>
        </xdr:cNvPr>
        <xdr:cNvPicPr>
          <a:picLocks noChangeAspect="1"/>
        </xdr:cNvPicPr>
      </xdr:nvPicPr>
      <xdr:blipFill>
        <a:blip xmlns:r="http://schemas.openxmlformats.org/officeDocument/2006/relationships" r:embed="rId1"/>
        <a:stretch>
          <a:fillRect/>
        </a:stretch>
      </xdr:blipFill>
      <xdr:spPr>
        <a:xfrm>
          <a:off x="68036" y="45016982"/>
          <a:ext cx="217714" cy="283612"/>
        </a:xfrm>
        <a:prstGeom prst="rect">
          <a:avLst/>
        </a:prstGeom>
      </xdr:spPr>
    </xdr:pic>
    <xdr:clientData/>
  </xdr:twoCellAnchor>
  <xdr:twoCellAnchor editAs="oneCell">
    <xdr:from>
      <xdr:col>0</xdr:col>
      <xdr:colOff>176893</xdr:colOff>
      <xdr:row>168</xdr:row>
      <xdr:rowOff>122464</xdr:rowOff>
    </xdr:from>
    <xdr:to>
      <xdr:col>0</xdr:col>
      <xdr:colOff>347596</xdr:colOff>
      <xdr:row>169</xdr:row>
      <xdr:rowOff>143929</xdr:rowOff>
    </xdr:to>
    <xdr:pic>
      <xdr:nvPicPr>
        <xdr:cNvPr id="3" name="Picture 2">
          <a:extLst>
            <a:ext uri="{FF2B5EF4-FFF2-40B4-BE49-F238E27FC236}">
              <a16:creationId xmlns:a16="http://schemas.microsoft.com/office/drawing/2014/main" id="{968AA1B3-E5FE-46FC-A0FF-D00DD9C10048}"/>
            </a:ext>
          </a:extLst>
        </xdr:cNvPr>
        <xdr:cNvPicPr>
          <a:picLocks noChangeAspect="1"/>
        </xdr:cNvPicPr>
      </xdr:nvPicPr>
      <xdr:blipFill>
        <a:blip xmlns:r="http://schemas.openxmlformats.org/officeDocument/2006/relationships" r:embed="rId1"/>
        <a:stretch>
          <a:fillRect/>
        </a:stretch>
      </xdr:blipFill>
      <xdr:spPr>
        <a:xfrm>
          <a:off x="176893" y="34364839"/>
          <a:ext cx="170703" cy="221490"/>
        </a:xfrm>
        <a:prstGeom prst="rect">
          <a:avLst/>
        </a:prstGeom>
      </xdr:spPr>
    </xdr:pic>
    <xdr:clientData/>
  </xdr:twoCellAnchor>
  <xdr:twoCellAnchor editAs="oneCell">
    <xdr:from>
      <xdr:col>0</xdr:col>
      <xdr:colOff>136071</xdr:colOff>
      <xdr:row>112</xdr:row>
      <xdr:rowOff>136071</xdr:rowOff>
    </xdr:from>
    <xdr:to>
      <xdr:col>0</xdr:col>
      <xdr:colOff>306774</xdr:colOff>
      <xdr:row>113</xdr:row>
      <xdr:rowOff>157536</xdr:rowOff>
    </xdr:to>
    <xdr:pic>
      <xdr:nvPicPr>
        <xdr:cNvPr id="4" name="Picture 3">
          <a:extLst>
            <a:ext uri="{FF2B5EF4-FFF2-40B4-BE49-F238E27FC236}">
              <a16:creationId xmlns:a16="http://schemas.microsoft.com/office/drawing/2014/main" id="{F1D6CCDB-7C26-4A0C-BDC3-FCB03C1F4809}"/>
            </a:ext>
          </a:extLst>
        </xdr:cNvPr>
        <xdr:cNvPicPr>
          <a:picLocks noChangeAspect="1"/>
        </xdr:cNvPicPr>
      </xdr:nvPicPr>
      <xdr:blipFill>
        <a:blip xmlns:r="http://schemas.openxmlformats.org/officeDocument/2006/relationships" r:embed="rId1"/>
        <a:stretch>
          <a:fillRect/>
        </a:stretch>
      </xdr:blipFill>
      <xdr:spPr>
        <a:xfrm>
          <a:off x="136071" y="23100846"/>
          <a:ext cx="170703" cy="221490"/>
        </a:xfrm>
        <a:prstGeom prst="rect">
          <a:avLst/>
        </a:prstGeom>
      </xdr:spPr>
    </xdr:pic>
    <xdr:clientData/>
  </xdr:twoCellAnchor>
  <xdr:twoCellAnchor editAs="oneCell">
    <xdr:from>
      <xdr:col>0</xdr:col>
      <xdr:colOff>176893</xdr:colOff>
      <xdr:row>52</xdr:row>
      <xdr:rowOff>122465</xdr:rowOff>
    </xdr:from>
    <xdr:to>
      <xdr:col>0</xdr:col>
      <xdr:colOff>347596</xdr:colOff>
      <xdr:row>53</xdr:row>
      <xdr:rowOff>143930</xdr:rowOff>
    </xdr:to>
    <xdr:pic>
      <xdr:nvPicPr>
        <xdr:cNvPr id="5" name="Picture 4">
          <a:extLst>
            <a:ext uri="{FF2B5EF4-FFF2-40B4-BE49-F238E27FC236}">
              <a16:creationId xmlns:a16="http://schemas.microsoft.com/office/drawing/2014/main" id="{2926646B-3E71-4F3D-A5AF-3B3F62A2D3F3}"/>
            </a:ext>
          </a:extLst>
        </xdr:cNvPr>
        <xdr:cNvPicPr>
          <a:picLocks noChangeAspect="1"/>
        </xdr:cNvPicPr>
      </xdr:nvPicPr>
      <xdr:blipFill>
        <a:blip xmlns:r="http://schemas.openxmlformats.org/officeDocument/2006/relationships" r:embed="rId1"/>
        <a:stretch>
          <a:fillRect/>
        </a:stretch>
      </xdr:blipFill>
      <xdr:spPr>
        <a:xfrm>
          <a:off x="176893" y="10638065"/>
          <a:ext cx="170703" cy="221490"/>
        </a:xfrm>
        <a:prstGeom prst="rect">
          <a:avLst/>
        </a:prstGeom>
      </xdr:spPr>
    </xdr:pic>
    <xdr:clientData/>
  </xdr:twoCellAnchor>
  <xdr:twoCellAnchor editAs="oneCell">
    <xdr:from>
      <xdr:col>13</xdr:col>
      <xdr:colOff>830036</xdr:colOff>
      <xdr:row>52</xdr:row>
      <xdr:rowOff>54429</xdr:rowOff>
    </xdr:from>
    <xdr:to>
      <xdr:col>13</xdr:col>
      <xdr:colOff>1714033</xdr:colOff>
      <xdr:row>53</xdr:row>
      <xdr:rowOff>155148</xdr:rowOff>
    </xdr:to>
    <xdr:pic>
      <xdr:nvPicPr>
        <xdr:cNvPr id="6" name="Picture 5">
          <a:extLst>
            <a:ext uri="{FF2B5EF4-FFF2-40B4-BE49-F238E27FC236}">
              <a16:creationId xmlns:a16="http://schemas.microsoft.com/office/drawing/2014/main" id="{81ABEB24-2A24-4A59-9311-8277409BDC04}"/>
            </a:ext>
          </a:extLst>
        </xdr:cNvPr>
        <xdr:cNvPicPr>
          <a:picLocks noChangeAspect="1"/>
        </xdr:cNvPicPr>
      </xdr:nvPicPr>
      <xdr:blipFill>
        <a:blip xmlns:r="http://schemas.openxmlformats.org/officeDocument/2006/relationships" r:embed="rId2"/>
        <a:stretch>
          <a:fillRect/>
        </a:stretch>
      </xdr:blipFill>
      <xdr:spPr>
        <a:xfrm>
          <a:off x="18994211" y="10570029"/>
          <a:ext cx="883997" cy="300744"/>
        </a:xfrm>
        <a:prstGeom prst="rect">
          <a:avLst/>
        </a:prstGeom>
      </xdr:spPr>
    </xdr:pic>
    <xdr:clientData/>
  </xdr:twoCellAnchor>
  <xdr:twoCellAnchor editAs="oneCell">
    <xdr:from>
      <xdr:col>13</xdr:col>
      <xdr:colOff>843643</xdr:colOff>
      <xdr:row>112</xdr:row>
      <xdr:rowOff>54428</xdr:rowOff>
    </xdr:from>
    <xdr:to>
      <xdr:col>13</xdr:col>
      <xdr:colOff>1727640</xdr:colOff>
      <xdr:row>113</xdr:row>
      <xdr:rowOff>155147</xdr:rowOff>
    </xdr:to>
    <xdr:pic>
      <xdr:nvPicPr>
        <xdr:cNvPr id="7" name="Picture 6">
          <a:extLst>
            <a:ext uri="{FF2B5EF4-FFF2-40B4-BE49-F238E27FC236}">
              <a16:creationId xmlns:a16="http://schemas.microsoft.com/office/drawing/2014/main" id="{D0D70FEE-87D3-4A2C-8781-EBA15E3B7382}"/>
            </a:ext>
          </a:extLst>
        </xdr:cNvPr>
        <xdr:cNvPicPr>
          <a:picLocks noChangeAspect="1"/>
        </xdr:cNvPicPr>
      </xdr:nvPicPr>
      <xdr:blipFill>
        <a:blip xmlns:r="http://schemas.openxmlformats.org/officeDocument/2006/relationships" r:embed="rId2"/>
        <a:stretch>
          <a:fillRect/>
        </a:stretch>
      </xdr:blipFill>
      <xdr:spPr>
        <a:xfrm>
          <a:off x="19007818" y="23019203"/>
          <a:ext cx="883997" cy="300744"/>
        </a:xfrm>
        <a:prstGeom prst="rect">
          <a:avLst/>
        </a:prstGeom>
      </xdr:spPr>
    </xdr:pic>
    <xdr:clientData/>
  </xdr:twoCellAnchor>
  <xdr:twoCellAnchor editAs="oneCell">
    <xdr:from>
      <xdr:col>13</xdr:col>
      <xdr:colOff>816429</xdr:colOff>
      <xdr:row>168</xdr:row>
      <xdr:rowOff>81643</xdr:rowOff>
    </xdr:from>
    <xdr:to>
      <xdr:col>13</xdr:col>
      <xdr:colOff>1700426</xdr:colOff>
      <xdr:row>169</xdr:row>
      <xdr:rowOff>182362</xdr:rowOff>
    </xdr:to>
    <xdr:pic>
      <xdr:nvPicPr>
        <xdr:cNvPr id="8" name="Picture 7">
          <a:extLst>
            <a:ext uri="{FF2B5EF4-FFF2-40B4-BE49-F238E27FC236}">
              <a16:creationId xmlns:a16="http://schemas.microsoft.com/office/drawing/2014/main" id="{983337E0-F5E9-458B-8E04-8EAA3E734454}"/>
            </a:ext>
          </a:extLst>
        </xdr:cNvPr>
        <xdr:cNvPicPr>
          <a:picLocks noChangeAspect="1"/>
        </xdr:cNvPicPr>
      </xdr:nvPicPr>
      <xdr:blipFill>
        <a:blip xmlns:r="http://schemas.openxmlformats.org/officeDocument/2006/relationships" r:embed="rId2"/>
        <a:stretch>
          <a:fillRect/>
        </a:stretch>
      </xdr:blipFill>
      <xdr:spPr>
        <a:xfrm>
          <a:off x="18980604" y="34324018"/>
          <a:ext cx="883997" cy="300744"/>
        </a:xfrm>
        <a:prstGeom prst="rect">
          <a:avLst/>
        </a:prstGeom>
      </xdr:spPr>
    </xdr:pic>
    <xdr:clientData/>
  </xdr:twoCellAnchor>
  <xdr:twoCellAnchor editAs="oneCell">
    <xdr:from>
      <xdr:col>13</xdr:col>
      <xdr:colOff>938893</xdr:colOff>
      <xdr:row>221</xdr:row>
      <xdr:rowOff>27215</xdr:rowOff>
    </xdr:from>
    <xdr:to>
      <xdr:col>13</xdr:col>
      <xdr:colOff>1822890</xdr:colOff>
      <xdr:row>222</xdr:row>
      <xdr:rowOff>127934</xdr:rowOff>
    </xdr:to>
    <xdr:pic>
      <xdr:nvPicPr>
        <xdr:cNvPr id="9" name="Picture 8">
          <a:extLst>
            <a:ext uri="{FF2B5EF4-FFF2-40B4-BE49-F238E27FC236}">
              <a16:creationId xmlns:a16="http://schemas.microsoft.com/office/drawing/2014/main" id="{818A091B-A316-45DC-8E62-2F47D82A8FA9}"/>
            </a:ext>
          </a:extLst>
        </xdr:cNvPr>
        <xdr:cNvPicPr>
          <a:picLocks noChangeAspect="1"/>
        </xdr:cNvPicPr>
      </xdr:nvPicPr>
      <xdr:blipFill>
        <a:blip xmlns:r="http://schemas.openxmlformats.org/officeDocument/2006/relationships" r:embed="rId2"/>
        <a:stretch>
          <a:fillRect/>
        </a:stretch>
      </xdr:blipFill>
      <xdr:spPr>
        <a:xfrm>
          <a:off x="19103068" y="44956640"/>
          <a:ext cx="883997" cy="30074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68036</xdr:colOff>
      <xdr:row>221</xdr:row>
      <xdr:rowOff>87557</xdr:rowOff>
    </xdr:from>
    <xdr:to>
      <xdr:col>0</xdr:col>
      <xdr:colOff>285750</xdr:colOff>
      <xdr:row>222</xdr:row>
      <xdr:rowOff>171144</xdr:rowOff>
    </xdr:to>
    <xdr:pic>
      <xdr:nvPicPr>
        <xdr:cNvPr id="2" name="Picture 1">
          <a:extLst>
            <a:ext uri="{FF2B5EF4-FFF2-40B4-BE49-F238E27FC236}">
              <a16:creationId xmlns:a16="http://schemas.microsoft.com/office/drawing/2014/main" id="{1FA8BB43-FB68-4D1B-8FB5-D0B9378242C8}"/>
            </a:ext>
          </a:extLst>
        </xdr:cNvPr>
        <xdr:cNvPicPr>
          <a:picLocks noChangeAspect="1"/>
        </xdr:cNvPicPr>
      </xdr:nvPicPr>
      <xdr:blipFill>
        <a:blip xmlns:r="http://schemas.openxmlformats.org/officeDocument/2006/relationships" r:embed="rId1"/>
        <a:stretch>
          <a:fillRect/>
        </a:stretch>
      </xdr:blipFill>
      <xdr:spPr>
        <a:xfrm>
          <a:off x="68036" y="45016982"/>
          <a:ext cx="217714" cy="283612"/>
        </a:xfrm>
        <a:prstGeom prst="rect">
          <a:avLst/>
        </a:prstGeom>
      </xdr:spPr>
    </xdr:pic>
    <xdr:clientData/>
  </xdr:twoCellAnchor>
  <xdr:twoCellAnchor editAs="oneCell">
    <xdr:from>
      <xdr:col>0</xdr:col>
      <xdr:colOff>176893</xdr:colOff>
      <xdr:row>168</xdr:row>
      <xdr:rowOff>122464</xdr:rowOff>
    </xdr:from>
    <xdr:to>
      <xdr:col>0</xdr:col>
      <xdr:colOff>347596</xdr:colOff>
      <xdr:row>169</xdr:row>
      <xdr:rowOff>143929</xdr:rowOff>
    </xdr:to>
    <xdr:pic>
      <xdr:nvPicPr>
        <xdr:cNvPr id="3" name="Picture 2">
          <a:extLst>
            <a:ext uri="{FF2B5EF4-FFF2-40B4-BE49-F238E27FC236}">
              <a16:creationId xmlns:a16="http://schemas.microsoft.com/office/drawing/2014/main" id="{7CD0FA50-BDF3-45FC-84F5-C1643BECA6BA}"/>
            </a:ext>
          </a:extLst>
        </xdr:cNvPr>
        <xdr:cNvPicPr>
          <a:picLocks noChangeAspect="1"/>
        </xdr:cNvPicPr>
      </xdr:nvPicPr>
      <xdr:blipFill>
        <a:blip xmlns:r="http://schemas.openxmlformats.org/officeDocument/2006/relationships" r:embed="rId1"/>
        <a:stretch>
          <a:fillRect/>
        </a:stretch>
      </xdr:blipFill>
      <xdr:spPr>
        <a:xfrm>
          <a:off x="176893" y="34364839"/>
          <a:ext cx="170703" cy="221490"/>
        </a:xfrm>
        <a:prstGeom prst="rect">
          <a:avLst/>
        </a:prstGeom>
      </xdr:spPr>
    </xdr:pic>
    <xdr:clientData/>
  </xdr:twoCellAnchor>
  <xdr:twoCellAnchor editAs="oneCell">
    <xdr:from>
      <xdr:col>0</xdr:col>
      <xdr:colOff>136071</xdr:colOff>
      <xdr:row>112</xdr:row>
      <xdr:rowOff>136071</xdr:rowOff>
    </xdr:from>
    <xdr:to>
      <xdr:col>0</xdr:col>
      <xdr:colOff>306774</xdr:colOff>
      <xdr:row>113</xdr:row>
      <xdr:rowOff>157536</xdr:rowOff>
    </xdr:to>
    <xdr:pic>
      <xdr:nvPicPr>
        <xdr:cNvPr id="4" name="Picture 3">
          <a:extLst>
            <a:ext uri="{FF2B5EF4-FFF2-40B4-BE49-F238E27FC236}">
              <a16:creationId xmlns:a16="http://schemas.microsoft.com/office/drawing/2014/main" id="{43B4FACE-B7C5-41D9-AEA6-4502AC9DC60A}"/>
            </a:ext>
          </a:extLst>
        </xdr:cNvPr>
        <xdr:cNvPicPr>
          <a:picLocks noChangeAspect="1"/>
        </xdr:cNvPicPr>
      </xdr:nvPicPr>
      <xdr:blipFill>
        <a:blip xmlns:r="http://schemas.openxmlformats.org/officeDocument/2006/relationships" r:embed="rId1"/>
        <a:stretch>
          <a:fillRect/>
        </a:stretch>
      </xdr:blipFill>
      <xdr:spPr>
        <a:xfrm>
          <a:off x="136071" y="23100846"/>
          <a:ext cx="170703" cy="221490"/>
        </a:xfrm>
        <a:prstGeom prst="rect">
          <a:avLst/>
        </a:prstGeom>
      </xdr:spPr>
    </xdr:pic>
    <xdr:clientData/>
  </xdr:twoCellAnchor>
  <xdr:twoCellAnchor editAs="oneCell">
    <xdr:from>
      <xdr:col>0</xdr:col>
      <xdr:colOff>176893</xdr:colOff>
      <xdr:row>52</xdr:row>
      <xdr:rowOff>122465</xdr:rowOff>
    </xdr:from>
    <xdr:to>
      <xdr:col>0</xdr:col>
      <xdr:colOff>347596</xdr:colOff>
      <xdr:row>53</xdr:row>
      <xdr:rowOff>143930</xdr:rowOff>
    </xdr:to>
    <xdr:pic>
      <xdr:nvPicPr>
        <xdr:cNvPr id="5" name="Picture 4">
          <a:extLst>
            <a:ext uri="{FF2B5EF4-FFF2-40B4-BE49-F238E27FC236}">
              <a16:creationId xmlns:a16="http://schemas.microsoft.com/office/drawing/2014/main" id="{F8ECC872-1C55-43D2-8CA9-CDA967DE76CF}"/>
            </a:ext>
          </a:extLst>
        </xdr:cNvPr>
        <xdr:cNvPicPr>
          <a:picLocks noChangeAspect="1"/>
        </xdr:cNvPicPr>
      </xdr:nvPicPr>
      <xdr:blipFill>
        <a:blip xmlns:r="http://schemas.openxmlformats.org/officeDocument/2006/relationships" r:embed="rId1"/>
        <a:stretch>
          <a:fillRect/>
        </a:stretch>
      </xdr:blipFill>
      <xdr:spPr>
        <a:xfrm>
          <a:off x="176893" y="10638065"/>
          <a:ext cx="170703" cy="221490"/>
        </a:xfrm>
        <a:prstGeom prst="rect">
          <a:avLst/>
        </a:prstGeom>
      </xdr:spPr>
    </xdr:pic>
    <xdr:clientData/>
  </xdr:twoCellAnchor>
  <xdr:twoCellAnchor editAs="oneCell">
    <xdr:from>
      <xdr:col>13</xdr:col>
      <xdr:colOff>830036</xdr:colOff>
      <xdr:row>52</xdr:row>
      <xdr:rowOff>54429</xdr:rowOff>
    </xdr:from>
    <xdr:to>
      <xdr:col>13</xdr:col>
      <xdr:colOff>1714033</xdr:colOff>
      <xdr:row>53</xdr:row>
      <xdr:rowOff>155148</xdr:rowOff>
    </xdr:to>
    <xdr:pic>
      <xdr:nvPicPr>
        <xdr:cNvPr id="6" name="Picture 5">
          <a:extLst>
            <a:ext uri="{FF2B5EF4-FFF2-40B4-BE49-F238E27FC236}">
              <a16:creationId xmlns:a16="http://schemas.microsoft.com/office/drawing/2014/main" id="{5EAB44F4-BFD1-4439-AF5F-FB9178BA7366}"/>
            </a:ext>
          </a:extLst>
        </xdr:cNvPr>
        <xdr:cNvPicPr>
          <a:picLocks noChangeAspect="1"/>
        </xdr:cNvPicPr>
      </xdr:nvPicPr>
      <xdr:blipFill>
        <a:blip xmlns:r="http://schemas.openxmlformats.org/officeDocument/2006/relationships" r:embed="rId2"/>
        <a:stretch>
          <a:fillRect/>
        </a:stretch>
      </xdr:blipFill>
      <xdr:spPr>
        <a:xfrm>
          <a:off x="18994211" y="10570029"/>
          <a:ext cx="883997" cy="300744"/>
        </a:xfrm>
        <a:prstGeom prst="rect">
          <a:avLst/>
        </a:prstGeom>
      </xdr:spPr>
    </xdr:pic>
    <xdr:clientData/>
  </xdr:twoCellAnchor>
  <xdr:twoCellAnchor editAs="oneCell">
    <xdr:from>
      <xdr:col>13</xdr:col>
      <xdr:colOff>843643</xdr:colOff>
      <xdr:row>112</xdr:row>
      <xdr:rowOff>54428</xdr:rowOff>
    </xdr:from>
    <xdr:to>
      <xdr:col>13</xdr:col>
      <xdr:colOff>1727640</xdr:colOff>
      <xdr:row>113</xdr:row>
      <xdr:rowOff>155147</xdr:rowOff>
    </xdr:to>
    <xdr:pic>
      <xdr:nvPicPr>
        <xdr:cNvPr id="7" name="Picture 6">
          <a:extLst>
            <a:ext uri="{FF2B5EF4-FFF2-40B4-BE49-F238E27FC236}">
              <a16:creationId xmlns:a16="http://schemas.microsoft.com/office/drawing/2014/main" id="{41119613-5E30-489A-8A17-8712EE97408D}"/>
            </a:ext>
          </a:extLst>
        </xdr:cNvPr>
        <xdr:cNvPicPr>
          <a:picLocks noChangeAspect="1"/>
        </xdr:cNvPicPr>
      </xdr:nvPicPr>
      <xdr:blipFill>
        <a:blip xmlns:r="http://schemas.openxmlformats.org/officeDocument/2006/relationships" r:embed="rId2"/>
        <a:stretch>
          <a:fillRect/>
        </a:stretch>
      </xdr:blipFill>
      <xdr:spPr>
        <a:xfrm>
          <a:off x="19007818" y="23019203"/>
          <a:ext cx="883997" cy="300744"/>
        </a:xfrm>
        <a:prstGeom prst="rect">
          <a:avLst/>
        </a:prstGeom>
      </xdr:spPr>
    </xdr:pic>
    <xdr:clientData/>
  </xdr:twoCellAnchor>
  <xdr:twoCellAnchor editAs="oneCell">
    <xdr:from>
      <xdr:col>13</xdr:col>
      <xdr:colOff>816429</xdr:colOff>
      <xdr:row>168</xdr:row>
      <xdr:rowOff>81643</xdr:rowOff>
    </xdr:from>
    <xdr:to>
      <xdr:col>13</xdr:col>
      <xdr:colOff>1700426</xdr:colOff>
      <xdr:row>169</xdr:row>
      <xdr:rowOff>182362</xdr:rowOff>
    </xdr:to>
    <xdr:pic>
      <xdr:nvPicPr>
        <xdr:cNvPr id="8" name="Picture 7">
          <a:extLst>
            <a:ext uri="{FF2B5EF4-FFF2-40B4-BE49-F238E27FC236}">
              <a16:creationId xmlns:a16="http://schemas.microsoft.com/office/drawing/2014/main" id="{61334B15-7F6A-4DF1-A205-680BB86558F9}"/>
            </a:ext>
          </a:extLst>
        </xdr:cNvPr>
        <xdr:cNvPicPr>
          <a:picLocks noChangeAspect="1"/>
        </xdr:cNvPicPr>
      </xdr:nvPicPr>
      <xdr:blipFill>
        <a:blip xmlns:r="http://schemas.openxmlformats.org/officeDocument/2006/relationships" r:embed="rId2"/>
        <a:stretch>
          <a:fillRect/>
        </a:stretch>
      </xdr:blipFill>
      <xdr:spPr>
        <a:xfrm>
          <a:off x="18980604" y="34324018"/>
          <a:ext cx="883997" cy="300744"/>
        </a:xfrm>
        <a:prstGeom prst="rect">
          <a:avLst/>
        </a:prstGeom>
      </xdr:spPr>
    </xdr:pic>
    <xdr:clientData/>
  </xdr:twoCellAnchor>
  <xdr:twoCellAnchor editAs="oneCell">
    <xdr:from>
      <xdr:col>13</xdr:col>
      <xdr:colOff>938893</xdr:colOff>
      <xdr:row>221</xdr:row>
      <xdr:rowOff>27215</xdr:rowOff>
    </xdr:from>
    <xdr:to>
      <xdr:col>13</xdr:col>
      <xdr:colOff>1822890</xdr:colOff>
      <xdr:row>222</xdr:row>
      <xdr:rowOff>127934</xdr:rowOff>
    </xdr:to>
    <xdr:pic>
      <xdr:nvPicPr>
        <xdr:cNvPr id="9" name="Picture 8">
          <a:extLst>
            <a:ext uri="{FF2B5EF4-FFF2-40B4-BE49-F238E27FC236}">
              <a16:creationId xmlns:a16="http://schemas.microsoft.com/office/drawing/2014/main" id="{38EE6AE9-D2AB-4FB2-887F-061292236B13}"/>
            </a:ext>
          </a:extLst>
        </xdr:cNvPr>
        <xdr:cNvPicPr>
          <a:picLocks noChangeAspect="1"/>
        </xdr:cNvPicPr>
      </xdr:nvPicPr>
      <xdr:blipFill>
        <a:blip xmlns:r="http://schemas.openxmlformats.org/officeDocument/2006/relationships" r:embed="rId2"/>
        <a:stretch>
          <a:fillRect/>
        </a:stretch>
      </xdr:blipFill>
      <xdr:spPr>
        <a:xfrm>
          <a:off x="19103068" y="44956640"/>
          <a:ext cx="883997" cy="30074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68036</xdr:colOff>
      <xdr:row>221</xdr:row>
      <xdr:rowOff>87557</xdr:rowOff>
    </xdr:from>
    <xdr:to>
      <xdr:col>0</xdr:col>
      <xdr:colOff>285750</xdr:colOff>
      <xdr:row>222</xdr:row>
      <xdr:rowOff>171144</xdr:rowOff>
    </xdr:to>
    <xdr:pic>
      <xdr:nvPicPr>
        <xdr:cNvPr id="2" name="Picture 1">
          <a:extLst>
            <a:ext uri="{FF2B5EF4-FFF2-40B4-BE49-F238E27FC236}">
              <a16:creationId xmlns:a16="http://schemas.microsoft.com/office/drawing/2014/main" id="{435AB861-3CD1-475A-B140-A85F2D7748ED}"/>
            </a:ext>
          </a:extLst>
        </xdr:cNvPr>
        <xdr:cNvPicPr>
          <a:picLocks noChangeAspect="1"/>
        </xdr:cNvPicPr>
      </xdr:nvPicPr>
      <xdr:blipFill>
        <a:blip xmlns:r="http://schemas.openxmlformats.org/officeDocument/2006/relationships" r:embed="rId1"/>
        <a:stretch>
          <a:fillRect/>
        </a:stretch>
      </xdr:blipFill>
      <xdr:spPr>
        <a:xfrm>
          <a:off x="68036" y="45016982"/>
          <a:ext cx="217714" cy="283612"/>
        </a:xfrm>
        <a:prstGeom prst="rect">
          <a:avLst/>
        </a:prstGeom>
      </xdr:spPr>
    </xdr:pic>
    <xdr:clientData/>
  </xdr:twoCellAnchor>
  <xdr:twoCellAnchor editAs="oneCell">
    <xdr:from>
      <xdr:col>0</xdr:col>
      <xdr:colOff>176893</xdr:colOff>
      <xdr:row>168</xdr:row>
      <xdr:rowOff>122464</xdr:rowOff>
    </xdr:from>
    <xdr:to>
      <xdr:col>0</xdr:col>
      <xdr:colOff>347596</xdr:colOff>
      <xdr:row>169</xdr:row>
      <xdr:rowOff>143929</xdr:rowOff>
    </xdr:to>
    <xdr:pic>
      <xdr:nvPicPr>
        <xdr:cNvPr id="3" name="Picture 2">
          <a:extLst>
            <a:ext uri="{FF2B5EF4-FFF2-40B4-BE49-F238E27FC236}">
              <a16:creationId xmlns:a16="http://schemas.microsoft.com/office/drawing/2014/main" id="{A2FE8CEE-FE72-4373-ABF2-9EBA8150EA49}"/>
            </a:ext>
          </a:extLst>
        </xdr:cNvPr>
        <xdr:cNvPicPr>
          <a:picLocks noChangeAspect="1"/>
        </xdr:cNvPicPr>
      </xdr:nvPicPr>
      <xdr:blipFill>
        <a:blip xmlns:r="http://schemas.openxmlformats.org/officeDocument/2006/relationships" r:embed="rId1"/>
        <a:stretch>
          <a:fillRect/>
        </a:stretch>
      </xdr:blipFill>
      <xdr:spPr>
        <a:xfrm>
          <a:off x="176893" y="34364839"/>
          <a:ext cx="170703" cy="221490"/>
        </a:xfrm>
        <a:prstGeom prst="rect">
          <a:avLst/>
        </a:prstGeom>
      </xdr:spPr>
    </xdr:pic>
    <xdr:clientData/>
  </xdr:twoCellAnchor>
  <xdr:twoCellAnchor editAs="oneCell">
    <xdr:from>
      <xdr:col>0</xdr:col>
      <xdr:colOff>136071</xdr:colOff>
      <xdr:row>112</xdr:row>
      <xdr:rowOff>136071</xdr:rowOff>
    </xdr:from>
    <xdr:to>
      <xdr:col>0</xdr:col>
      <xdr:colOff>306774</xdr:colOff>
      <xdr:row>113</xdr:row>
      <xdr:rowOff>157536</xdr:rowOff>
    </xdr:to>
    <xdr:pic>
      <xdr:nvPicPr>
        <xdr:cNvPr id="4" name="Picture 3">
          <a:extLst>
            <a:ext uri="{FF2B5EF4-FFF2-40B4-BE49-F238E27FC236}">
              <a16:creationId xmlns:a16="http://schemas.microsoft.com/office/drawing/2014/main" id="{2B91E1A3-87E1-4CF4-9CC1-1DA6716DEE5E}"/>
            </a:ext>
          </a:extLst>
        </xdr:cNvPr>
        <xdr:cNvPicPr>
          <a:picLocks noChangeAspect="1"/>
        </xdr:cNvPicPr>
      </xdr:nvPicPr>
      <xdr:blipFill>
        <a:blip xmlns:r="http://schemas.openxmlformats.org/officeDocument/2006/relationships" r:embed="rId1"/>
        <a:stretch>
          <a:fillRect/>
        </a:stretch>
      </xdr:blipFill>
      <xdr:spPr>
        <a:xfrm>
          <a:off x="136071" y="23100846"/>
          <a:ext cx="170703" cy="221490"/>
        </a:xfrm>
        <a:prstGeom prst="rect">
          <a:avLst/>
        </a:prstGeom>
      </xdr:spPr>
    </xdr:pic>
    <xdr:clientData/>
  </xdr:twoCellAnchor>
  <xdr:twoCellAnchor editAs="oneCell">
    <xdr:from>
      <xdr:col>0</xdr:col>
      <xdr:colOff>176893</xdr:colOff>
      <xdr:row>52</xdr:row>
      <xdr:rowOff>122465</xdr:rowOff>
    </xdr:from>
    <xdr:to>
      <xdr:col>0</xdr:col>
      <xdr:colOff>347596</xdr:colOff>
      <xdr:row>53</xdr:row>
      <xdr:rowOff>143930</xdr:rowOff>
    </xdr:to>
    <xdr:pic>
      <xdr:nvPicPr>
        <xdr:cNvPr id="5" name="Picture 4">
          <a:extLst>
            <a:ext uri="{FF2B5EF4-FFF2-40B4-BE49-F238E27FC236}">
              <a16:creationId xmlns:a16="http://schemas.microsoft.com/office/drawing/2014/main" id="{F6680143-18C5-4385-B9FE-6FAF30AE603E}"/>
            </a:ext>
          </a:extLst>
        </xdr:cNvPr>
        <xdr:cNvPicPr>
          <a:picLocks noChangeAspect="1"/>
        </xdr:cNvPicPr>
      </xdr:nvPicPr>
      <xdr:blipFill>
        <a:blip xmlns:r="http://schemas.openxmlformats.org/officeDocument/2006/relationships" r:embed="rId1"/>
        <a:stretch>
          <a:fillRect/>
        </a:stretch>
      </xdr:blipFill>
      <xdr:spPr>
        <a:xfrm>
          <a:off x="176893" y="10638065"/>
          <a:ext cx="170703" cy="221490"/>
        </a:xfrm>
        <a:prstGeom prst="rect">
          <a:avLst/>
        </a:prstGeom>
      </xdr:spPr>
    </xdr:pic>
    <xdr:clientData/>
  </xdr:twoCellAnchor>
  <xdr:twoCellAnchor editAs="oneCell">
    <xdr:from>
      <xdr:col>13</xdr:col>
      <xdr:colOff>830036</xdr:colOff>
      <xdr:row>52</xdr:row>
      <xdr:rowOff>54429</xdr:rowOff>
    </xdr:from>
    <xdr:to>
      <xdr:col>13</xdr:col>
      <xdr:colOff>1714033</xdr:colOff>
      <xdr:row>53</xdr:row>
      <xdr:rowOff>155148</xdr:rowOff>
    </xdr:to>
    <xdr:pic>
      <xdr:nvPicPr>
        <xdr:cNvPr id="6" name="Picture 5">
          <a:extLst>
            <a:ext uri="{FF2B5EF4-FFF2-40B4-BE49-F238E27FC236}">
              <a16:creationId xmlns:a16="http://schemas.microsoft.com/office/drawing/2014/main" id="{7B68BE62-0E56-4286-9F28-C480EFE3795F}"/>
            </a:ext>
          </a:extLst>
        </xdr:cNvPr>
        <xdr:cNvPicPr>
          <a:picLocks noChangeAspect="1"/>
        </xdr:cNvPicPr>
      </xdr:nvPicPr>
      <xdr:blipFill>
        <a:blip xmlns:r="http://schemas.openxmlformats.org/officeDocument/2006/relationships" r:embed="rId2"/>
        <a:stretch>
          <a:fillRect/>
        </a:stretch>
      </xdr:blipFill>
      <xdr:spPr>
        <a:xfrm>
          <a:off x="18994211" y="10570029"/>
          <a:ext cx="883997" cy="300744"/>
        </a:xfrm>
        <a:prstGeom prst="rect">
          <a:avLst/>
        </a:prstGeom>
      </xdr:spPr>
    </xdr:pic>
    <xdr:clientData/>
  </xdr:twoCellAnchor>
  <xdr:twoCellAnchor editAs="oneCell">
    <xdr:from>
      <xdr:col>13</xdr:col>
      <xdr:colOff>843643</xdr:colOff>
      <xdr:row>112</xdr:row>
      <xdr:rowOff>54428</xdr:rowOff>
    </xdr:from>
    <xdr:to>
      <xdr:col>13</xdr:col>
      <xdr:colOff>1727640</xdr:colOff>
      <xdr:row>113</xdr:row>
      <xdr:rowOff>155147</xdr:rowOff>
    </xdr:to>
    <xdr:pic>
      <xdr:nvPicPr>
        <xdr:cNvPr id="7" name="Picture 6">
          <a:extLst>
            <a:ext uri="{FF2B5EF4-FFF2-40B4-BE49-F238E27FC236}">
              <a16:creationId xmlns:a16="http://schemas.microsoft.com/office/drawing/2014/main" id="{D587EFDC-2BD1-4AD9-95A7-92A698847A29}"/>
            </a:ext>
          </a:extLst>
        </xdr:cNvPr>
        <xdr:cNvPicPr>
          <a:picLocks noChangeAspect="1"/>
        </xdr:cNvPicPr>
      </xdr:nvPicPr>
      <xdr:blipFill>
        <a:blip xmlns:r="http://schemas.openxmlformats.org/officeDocument/2006/relationships" r:embed="rId2"/>
        <a:stretch>
          <a:fillRect/>
        </a:stretch>
      </xdr:blipFill>
      <xdr:spPr>
        <a:xfrm>
          <a:off x="19007818" y="23019203"/>
          <a:ext cx="883997" cy="300744"/>
        </a:xfrm>
        <a:prstGeom prst="rect">
          <a:avLst/>
        </a:prstGeom>
      </xdr:spPr>
    </xdr:pic>
    <xdr:clientData/>
  </xdr:twoCellAnchor>
  <xdr:twoCellAnchor editAs="oneCell">
    <xdr:from>
      <xdr:col>13</xdr:col>
      <xdr:colOff>816429</xdr:colOff>
      <xdr:row>168</xdr:row>
      <xdr:rowOff>81643</xdr:rowOff>
    </xdr:from>
    <xdr:to>
      <xdr:col>13</xdr:col>
      <xdr:colOff>1700426</xdr:colOff>
      <xdr:row>169</xdr:row>
      <xdr:rowOff>182362</xdr:rowOff>
    </xdr:to>
    <xdr:pic>
      <xdr:nvPicPr>
        <xdr:cNvPr id="8" name="Picture 7">
          <a:extLst>
            <a:ext uri="{FF2B5EF4-FFF2-40B4-BE49-F238E27FC236}">
              <a16:creationId xmlns:a16="http://schemas.microsoft.com/office/drawing/2014/main" id="{6FD40053-B8AF-440B-877A-929BFF120C25}"/>
            </a:ext>
          </a:extLst>
        </xdr:cNvPr>
        <xdr:cNvPicPr>
          <a:picLocks noChangeAspect="1"/>
        </xdr:cNvPicPr>
      </xdr:nvPicPr>
      <xdr:blipFill>
        <a:blip xmlns:r="http://schemas.openxmlformats.org/officeDocument/2006/relationships" r:embed="rId2"/>
        <a:stretch>
          <a:fillRect/>
        </a:stretch>
      </xdr:blipFill>
      <xdr:spPr>
        <a:xfrm>
          <a:off x="18980604" y="34324018"/>
          <a:ext cx="883997" cy="300744"/>
        </a:xfrm>
        <a:prstGeom prst="rect">
          <a:avLst/>
        </a:prstGeom>
      </xdr:spPr>
    </xdr:pic>
    <xdr:clientData/>
  </xdr:twoCellAnchor>
  <xdr:twoCellAnchor editAs="oneCell">
    <xdr:from>
      <xdr:col>13</xdr:col>
      <xdr:colOff>938893</xdr:colOff>
      <xdr:row>221</xdr:row>
      <xdr:rowOff>27215</xdr:rowOff>
    </xdr:from>
    <xdr:to>
      <xdr:col>13</xdr:col>
      <xdr:colOff>1822890</xdr:colOff>
      <xdr:row>222</xdr:row>
      <xdr:rowOff>127934</xdr:rowOff>
    </xdr:to>
    <xdr:pic>
      <xdr:nvPicPr>
        <xdr:cNvPr id="9" name="Picture 8">
          <a:extLst>
            <a:ext uri="{FF2B5EF4-FFF2-40B4-BE49-F238E27FC236}">
              <a16:creationId xmlns:a16="http://schemas.microsoft.com/office/drawing/2014/main" id="{D3F86CB1-616D-4448-9D63-947CBFC68A9E}"/>
            </a:ext>
          </a:extLst>
        </xdr:cNvPr>
        <xdr:cNvPicPr>
          <a:picLocks noChangeAspect="1"/>
        </xdr:cNvPicPr>
      </xdr:nvPicPr>
      <xdr:blipFill>
        <a:blip xmlns:r="http://schemas.openxmlformats.org/officeDocument/2006/relationships" r:embed="rId2"/>
        <a:stretch>
          <a:fillRect/>
        </a:stretch>
      </xdr:blipFill>
      <xdr:spPr>
        <a:xfrm>
          <a:off x="19103068" y="44956640"/>
          <a:ext cx="883997" cy="30074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68036</xdr:colOff>
      <xdr:row>223</xdr:row>
      <xdr:rowOff>87557</xdr:rowOff>
    </xdr:from>
    <xdr:to>
      <xdr:col>0</xdr:col>
      <xdr:colOff>285750</xdr:colOff>
      <xdr:row>224</xdr:row>
      <xdr:rowOff>171144</xdr:rowOff>
    </xdr:to>
    <xdr:pic>
      <xdr:nvPicPr>
        <xdr:cNvPr id="2" name="Picture 1">
          <a:extLst>
            <a:ext uri="{FF2B5EF4-FFF2-40B4-BE49-F238E27FC236}">
              <a16:creationId xmlns:a16="http://schemas.microsoft.com/office/drawing/2014/main" id="{62D1FBEF-9177-46B4-BD65-582B6E6317EE}"/>
            </a:ext>
          </a:extLst>
        </xdr:cNvPr>
        <xdr:cNvPicPr>
          <a:picLocks noChangeAspect="1"/>
        </xdr:cNvPicPr>
      </xdr:nvPicPr>
      <xdr:blipFill>
        <a:blip xmlns:r="http://schemas.openxmlformats.org/officeDocument/2006/relationships" r:embed="rId1"/>
        <a:stretch>
          <a:fillRect/>
        </a:stretch>
      </xdr:blipFill>
      <xdr:spPr>
        <a:xfrm>
          <a:off x="68036" y="45016982"/>
          <a:ext cx="217714" cy="283612"/>
        </a:xfrm>
        <a:prstGeom prst="rect">
          <a:avLst/>
        </a:prstGeom>
      </xdr:spPr>
    </xdr:pic>
    <xdr:clientData/>
  </xdr:twoCellAnchor>
  <xdr:twoCellAnchor editAs="oneCell">
    <xdr:from>
      <xdr:col>0</xdr:col>
      <xdr:colOff>176893</xdr:colOff>
      <xdr:row>170</xdr:row>
      <xdr:rowOff>122464</xdr:rowOff>
    </xdr:from>
    <xdr:to>
      <xdr:col>0</xdr:col>
      <xdr:colOff>347596</xdr:colOff>
      <xdr:row>171</xdr:row>
      <xdr:rowOff>143928</xdr:rowOff>
    </xdr:to>
    <xdr:pic>
      <xdr:nvPicPr>
        <xdr:cNvPr id="3" name="Picture 2">
          <a:extLst>
            <a:ext uri="{FF2B5EF4-FFF2-40B4-BE49-F238E27FC236}">
              <a16:creationId xmlns:a16="http://schemas.microsoft.com/office/drawing/2014/main" id="{A04E2DF0-D15B-4AD7-B62E-EAE6C3495470}"/>
            </a:ext>
          </a:extLst>
        </xdr:cNvPr>
        <xdr:cNvPicPr>
          <a:picLocks noChangeAspect="1"/>
        </xdr:cNvPicPr>
      </xdr:nvPicPr>
      <xdr:blipFill>
        <a:blip xmlns:r="http://schemas.openxmlformats.org/officeDocument/2006/relationships" r:embed="rId1"/>
        <a:stretch>
          <a:fillRect/>
        </a:stretch>
      </xdr:blipFill>
      <xdr:spPr>
        <a:xfrm>
          <a:off x="176893" y="34364839"/>
          <a:ext cx="170703" cy="221490"/>
        </a:xfrm>
        <a:prstGeom prst="rect">
          <a:avLst/>
        </a:prstGeom>
      </xdr:spPr>
    </xdr:pic>
    <xdr:clientData/>
  </xdr:twoCellAnchor>
  <xdr:twoCellAnchor editAs="oneCell">
    <xdr:from>
      <xdr:col>0</xdr:col>
      <xdr:colOff>136071</xdr:colOff>
      <xdr:row>113</xdr:row>
      <xdr:rowOff>136071</xdr:rowOff>
    </xdr:from>
    <xdr:to>
      <xdr:col>0</xdr:col>
      <xdr:colOff>306774</xdr:colOff>
      <xdr:row>114</xdr:row>
      <xdr:rowOff>157536</xdr:rowOff>
    </xdr:to>
    <xdr:pic>
      <xdr:nvPicPr>
        <xdr:cNvPr id="4" name="Picture 3">
          <a:extLst>
            <a:ext uri="{FF2B5EF4-FFF2-40B4-BE49-F238E27FC236}">
              <a16:creationId xmlns:a16="http://schemas.microsoft.com/office/drawing/2014/main" id="{C10AC9AF-13F4-4A92-A781-62C9937276FC}"/>
            </a:ext>
          </a:extLst>
        </xdr:cNvPr>
        <xdr:cNvPicPr>
          <a:picLocks noChangeAspect="1"/>
        </xdr:cNvPicPr>
      </xdr:nvPicPr>
      <xdr:blipFill>
        <a:blip xmlns:r="http://schemas.openxmlformats.org/officeDocument/2006/relationships" r:embed="rId1"/>
        <a:stretch>
          <a:fillRect/>
        </a:stretch>
      </xdr:blipFill>
      <xdr:spPr>
        <a:xfrm>
          <a:off x="136071" y="23100846"/>
          <a:ext cx="170703" cy="221490"/>
        </a:xfrm>
        <a:prstGeom prst="rect">
          <a:avLst/>
        </a:prstGeom>
      </xdr:spPr>
    </xdr:pic>
    <xdr:clientData/>
  </xdr:twoCellAnchor>
  <xdr:twoCellAnchor editAs="oneCell">
    <xdr:from>
      <xdr:col>0</xdr:col>
      <xdr:colOff>176893</xdr:colOff>
      <xdr:row>52</xdr:row>
      <xdr:rowOff>122465</xdr:rowOff>
    </xdr:from>
    <xdr:to>
      <xdr:col>0</xdr:col>
      <xdr:colOff>347596</xdr:colOff>
      <xdr:row>53</xdr:row>
      <xdr:rowOff>143930</xdr:rowOff>
    </xdr:to>
    <xdr:pic>
      <xdr:nvPicPr>
        <xdr:cNvPr id="5" name="Picture 4">
          <a:extLst>
            <a:ext uri="{FF2B5EF4-FFF2-40B4-BE49-F238E27FC236}">
              <a16:creationId xmlns:a16="http://schemas.microsoft.com/office/drawing/2014/main" id="{AABBD364-33A3-47A6-A79A-EFEFD2E6B93E}"/>
            </a:ext>
          </a:extLst>
        </xdr:cNvPr>
        <xdr:cNvPicPr>
          <a:picLocks noChangeAspect="1"/>
        </xdr:cNvPicPr>
      </xdr:nvPicPr>
      <xdr:blipFill>
        <a:blip xmlns:r="http://schemas.openxmlformats.org/officeDocument/2006/relationships" r:embed="rId1"/>
        <a:stretch>
          <a:fillRect/>
        </a:stretch>
      </xdr:blipFill>
      <xdr:spPr>
        <a:xfrm>
          <a:off x="176893" y="10638065"/>
          <a:ext cx="170703" cy="221490"/>
        </a:xfrm>
        <a:prstGeom prst="rect">
          <a:avLst/>
        </a:prstGeom>
      </xdr:spPr>
    </xdr:pic>
    <xdr:clientData/>
  </xdr:twoCellAnchor>
  <xdr:twoCellAnchor editAs="oneCell">
    <xdr:from>
      <xdr:col>13</xdr:col>
      <xdr:colOff>830036</xdr:colOff>
      <xdr:row>52</xdr:row>
      <xdr:rowOff>54429</xdr:rowOff>
    </xdr:from>
    <xdr:to>
      <xdr:col>13</xdr:col>
      <xdr:colOff>1714033</xdr:colOff>
      <xdr:row>53</xdr:row>
      <xdr:rowOff>155148</xdr:rowOff>
    </xdr:to>
    <xdr:pic>
      <xdr:nvPicPr>
        <xdr:cNvPr id="6" name="Picture 5">
          <a:extLst>
            <a:ext uri="{FF2B5EF4-FFF2-40B4-BE49-F238E27FC236}">
              <a16:creationId xmlns:a16="http://schemas.microsoft.com/office/drawing/2014/main" id="{93391FA4-F941-4167-9C67-2FE33F22286F}"/>
            </a:ext>
          </a:extLst>
        </xdr:cNvPr>
        <xdr:cNvPicPr>
          <a:picLocks noChangeAspect="1"/>
        </xdr:cNvPicPr>
      </xdr:nvPicPr>
      <xdr:blipFill>
        <a:blip xmlns:r="http://schemas.openxmlformats.org/officeDocument/2006/relationships" r:embed="rId2"/>
        <a:stretch>
          <a:fillRect/>
        </a:stretch>
      </xdr:blipFill>
      <xdr:spPr>
        <a:xfrm>
          <a:off x="18994211" y="10570029"/>
          <a:ext cx="883997" cy="300744"/>
        </a:xfrm>
        <a:prstGeom prst="rect">
          <a:avLst/>
        </a:prstGeom>
      </xdr:spPr>
    </xdr:pic>
    <xdr:clientData/>
  </xdr:twoCellAnchor>
  <xdr:twoCellAnchor editAs="oneCell">
    <xdr:from>
      <xdr:col>13</xdr:col>
      <xdr:colOff>843643</xdr:colOff>
      <xdr:row>113</xdr:row>
      <xdr:rowOff>54428</xdr:rowOff>
    </xdr:from>
    <xdr:to>
      <xdr:col>13</xdr:col>
      <xdr:colOff>1727640</xdr:colOff>
      <xdr:row>114</xdr:row>
      <xdr:rowOff>155147</xdr:rowOff>
    </xdr:to>
    <xdr:pic>
      <xdr:nvPicPr>
        <xdr:cNvPr id="7" name="Picture 6">
          <a:extLst>
            <a:ext uri="{FF2B5EF4-FFF2-40B4-BE49-F238E27FC236}">
              <a16:creationId xmlns:a16="http://schemas.microsoft.com/office/drawing/2014/main" id="{152B2D19-5E30-424F-B457-97D13291C6AC}"/>
            </a:ext>
          </a:extLst>
        </xdr:cNvPr>
        <xdr:cNvPicPr>
          <a:picLocks noChangeAspect="1"/>
        </xdr:cNvPicPr>
      </xdr:nvPicPr>
      <xdr:blipFill>
        <a:blip xmlns:r="http://schemas.openxmlformats.org/officeDocument/2006/relationships" r:embed="rId2"/>
        <a:stretch>
          <a:fillRect/>
        </a:stretch>
      </xdr:blipFill>
      <xdr:spPr>
        <a:xfrm>
          <a:off x="19007818" y="23019203"/>
          <a:ext cx="883997" cy="300744"/>
        </a:xfrm>
        <a:prstGeom prst="rect">
          <a:avLst/>
        </a:prstGeom>
      </xdr:spPr>
    </xdr:pic>
    <xdr:clientData/>
  </xdr:twoCellAnchor>
  <xdr:twoCellAnchor editAs="oneCell">
    <xdr:from>
      <xdr:col>13</xdr:col>
      <xdr:colOff>816429</xdr:colOff>
      <xdr:row>170</xdr:row>
      <xdr:rowOff>81643</xdr:rowOff>
    </xdr:from>
    <xdr:to>
      <xdr:col>13</xdr:col>
      <xdr:colOff>1700426</xdr:colOff>
      <xdr:row>171</xdr:row>
      <xdr:rowOff>182361</xdr:rowOff>
    </xdr:to>
    <xdr:pic>
      <xdr:nvPicPr>
        <xdr:cNvPr id="8" name="Picture 7">
          <a:extLst>
            <a:ext uri="{FF2B5EF4-FFF2-40B4-BE49-F238E27FC236}">
              <a16:creationId xmlns:a16="http://schemas.microsoft.com/office/drawing/2014/main" id="{F97B5B28-F7D6-4AB6-A254-133C3D9FB484}"/>
            </a:ext>
          </a:extLst>
        </xdr:cNvPr>
        <xdr:cNvPicPr>
          <a:picLocks noChangeAspect="1"/>
        </xdr:cNvPicPr>
      </xdr:nvPicPr>
      <xdr:blipFill>
        <a:blip xmlns:r="http://schemas.openxmlformats.org/officeDocument/2006/relationships" r:embed="rId2"/>
        <a:stretch>
          <a:fillRect/>
        </a:stretch>
      </xdr:blipFill>
      <xdr:spPr>
        <a:xfrm>
          <a:off x="18980604" y="34324018"/>
          <a:ext cx="883997" cy="300744"/>
        </a:xfrm>
        <a:prstGeom prst="rect">
          <a:avLst/>
        </a:prstGeom>
      </xdr:spPr>
    </xdr:pic>
    <xdr:clientData/>
  </xdr:twoCellAnchor>
  <xdr:twoCellAnchor editAs="oneCell">
    <xdr:from>
      <xdr:col>13</xdr:col>
      <xdr:colOff>938893</xdr:colOff>
      <xdr:row>223</xdr:row>
      <xdr:rowOff>27215</xdr:rowOff>
    </xdr:from>
    <xdr:to>
      <xdr:col>13</xdr:col>
      <xdr:colOff>1822890</xdr:colOff>
      <xdr:row>224</xdr:row>
      <xdr:rowOff>127934</xdr:rowOff>
    </xdr:to>
    <xdr:pic>
      <xdr:nvPicPr>
        <xdr:cNvPr id="9" name="Picture 8">
          <a:extLst>
            <a:ext uri="{FF2B5EF4-FFF2-40B4-BE49-F238E27FC236}">
              <a16:creationId xmlns:a16="http://schemas.microsoft.com/office/drawing/2014/main" id="{1CA8BF09-7963-4E74-855B-C3C00C47F3C4}"/>
            </a:ext>
          </a:extLst>
        </xdr:cNvPr>
        <xdr:cNvPicPr>
          <a:picLocks noChangeAspect="1"/>
        </xdr:cNvPicPr>
      </xdr:nvPicPr>
      <xdr:blipFill>
        <a:blip xmlns:r="http://schemas.openxmlformats.org/officeDocument/2006/relationships" r:embed="rId2"/>
        <a:stretch>
          <a:fillRect/>
        </a:stretch>
      </xdr:blipFill>
      <xdr:spPr>
        <a:xfrm>
          <a:off x="19103068" y="44956640"/>
          <a:ext cx="883997" cy="3007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8105" name="Picture 1" descr="C:\WINDOWS\TEMP\Symbol.gif">
          <a:extLst>
            <a:ext uri="{FF2B5EF4-FFF2-40B4-BE49-F238E27FC236}">
              <a16:creationId xmlns:a16="http://schemas.microsoft.com/office/drawing/2014/main" id="{00000000-0008-0000-0500-0000A91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8106" name="Picture 2" descr="C:\WINDOWS\TEMP\Symbol.gif">
          <a:extLst>
            <a:ext uri="{FF2B5EF4-FFF2-40B4-BE49-F238E27FC236}">
              <a16:creationId xmlns:a16="http://schemas.microsoft.com/office/drawing/2014/main" id="{00000000-0008-0000-0500-0000AA1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8107" name="Picture 3" descr="C:\WINDOWS\TEMP\Symbol.gif">
          <a:extLst>
            <a:ext uri="{FF2B5EF4-FFF2-40B4-BE49-F238E27FC236}">
              <a16:creationId xmlns:a16="http://schemas.microsoft.com/office/drawing/2014/main" id="{00000000-0008-0000-0500-0000AB1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8108" name="Picture 4" descr="C:\WINDOWS\TEMP\Symbol.gif">
          <a:extLst>
            <a:ext uri="{FF2B5EF4-FFF2-40B4-BE49-F238E27FC236}">
              <a16:creationId xmlns:a16="http://schemas.microsoft.com/office/drawing/2014/main" id="{00000000-0008-0000-0500-0000AC1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8109" name="Picture 5" descr="C:\WINDOWS\TEMP\~0003946.gif">
          <a:extLst>
            <a:ext uri="{FF2B5EF4-FFF2-40B4-BE49-F238E27FC236}">
              <a16:creationId xmlns:a16="http://schemas.microsoft.com/office/drawing/2014/main" id="{00000000-0008-0000-0500-0000AD1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8110" name="Picture 6" descr="C:\WINDOWS\TEMP\~0003946.gif">
          <a:extLst>
            <a:ext uri="{FF2B5EF4-FFF2-40B4-BE49-F238E27FC236}">
              <a16:creationId xmlns:a16="http://schemas.microsoft.com/office/drawing/2014/main" id="{00000000-0008-0000-0500-0000AE1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8111" name="Picture 7" descr="C:\WINDOWS\TEMP\~0003946.gif">
          <a:extLst>
            <a:ext uri="{FF2B5EF4-FFF2-40B4-BE49-F238E27FC236}">
              <a16:creationId xmlns:a16="http://schemas.microsoft.com/office/drawing/2014/main" id="{00000000-0008-0000-0500-0000AF1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8112" name="Picture 8" descr="C:\WINDOWS\TEMP\~0003946.gif">
          <a:extLst>
            <a:ext uri="{FF2B5EF4-FFF2-40B4-BE49-F238E27FC236}">
              <a16:creationId xmlns:a16="http://schemas.microsoft.com/office/drawing/2014/main" id="{00000000-0008-0000-0500-0000B01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9129" name="Picture 1" descr="C:\WINDOWS\TEMP\Symbol.gif">
          <a:extLst>
            <a:ext uri="{FF2B5EF4-FFF2-40B4-BE49-F238E27FC236}">
              <a16:creationId xmlns:a16="http://schemas.microsoft.com/office/drawing/2014/main" id="{00000000-0008-0000-0600-0000A92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9130" name="Picture 2" descr="C:\WINDOWS\TEMP\Symbol.gif">
          <a:extLst>
            <a:ext uri="{FF2B5EF4-FFF2-40B4-BE49-F238E27FC236}">
              <a16:creationId xmlns:a16="http://schemas.microsoft.com/office/drawing/2014/main" id="{00000000-0008-0000-0600-0000AA2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9131" name="Picture 3" descr="C:\WINDOWS\TEMP\Symbol.gif">
          <a:extLst>
            <a:ext uri="{FF2B5EF4-FFF2-40B4-BE49-F238E27FC236}">
              <a16:creationId xmlns:a16="http://schemas.microsoft.com/office/drawing/2014/main" id="{00000000-0008-0000-0600-0000AB2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9132" name="Picture 4" descr="C:\WINDOWS\TEMP\Symbol.gif">
          <a:extLst>
            <a:ext uri="{FF2B5EF4-FFF2-40B4-BE49-F238E27FC236}">
              <a16:creationId xmlns:a16="http://schemas.microsoft.com/office/drawing/2014/main" id="{00000000-0008-0000-0600-0000AC2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1133475</xdr:colOff>
      <xdr:row>221</xdr:row>
      <xdr:rowOff>85725</xdr:rowOff>
    </xdr:from>
    <xdr:to>
      <xdr:col>13</xdr:col>
      <xdr:colOff>1933575</xdr:colOff>
      <xdr:row>222</xdr:row>
      <xdr:rowOff>114300</xdr:rowOff>
    </xdr:to>
    <xdr:pic>
      <xdr:nvPicPr>
        <xdr:cNvPr id="9133" name="Picture 5" descr="C:\WINDOWS\TEMP\~0003946.gif">
          <a:extLst>
            <a:ext uri="{FF2B5EF4-FFF2-40B4-BE49-F238E27FC236}">
              <a16:creationId xmlns:a16="http://schemas.microsoft.com/office/drawing/2014/main" id="{00000000-0008-0000-0600-0000AD2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19307175" y="4499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9134" name="Picture 6" descr="C:\WINDOWS\TEMP\~0003946.gif">
          <a:extLst>
            <a:ext uri="{FF2B5EF4-FFF2-40B4-BE49-F238E27FC236}">
              <a16:creationId xmlns:a16="http://schemas.microsoft.com/office/drawing/2014/main" id="{00000000-0008-0000-0600-0000AE2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9135" name="Picture 7" descr="C:\WINDOWS\TEMP\~0003946.gif">
          <a:extLst>
            <a:ext uri="{FF2B5EF4-FFF2-40B4-BE49-F238E27FC236}">
              <a16:creationId xmlns:a16="http://schemas.microsoft.com/office/drawing/2014/main" id="{00000000-0008-0000-0600-0000AF2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9136" name="Picture 8" descr="C:\WINDOWS\TEMP\~0003946.gif">
          <a:extLst>
            <a:ext uri="{FF2B5EF4-FFF2-40B4-BE49-F238E27FC236}">
              <a16:creationId xmlns:a16="http://schemas.microsoft.com/office/drawing/2014/main" id="{00000000-0008-0000-0600-0000B02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0153" name="Picture 1" descr="C:\WINDOWS\TEMP\Symbol.gif">
          <a:extLst>
            <a:ext uri="{FF2B5EF4-FFF2-40B4-BE49-F238E27FC236}">
              <a16:creationId xmlns:a16="http://schemas.microsoft.com/office/drawing/2014/main" id="{00000000-0008-0000-0700-0000A92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0154" name="Picture 2" descr="C:\WINDOWS\TEMP\Symbol.gif">
          <a:extLst>
            <a:ext uri="{FF2B5EF4-FFF2-40B4-BE49-F238E27FC236}">
              <a16:creationId xmlns:a16="http://schemas.microsoft.com/office/drawing/2014/main" id="{00000000-0008-0000-0700-0000AA2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0155" name="Picture 3" descr="C:\WINDOWS\TEMP\Symbol.gif">
          <a:extLst>
            <a:ext uri="{FF2B5EF4-FFF2-40B4-BE49-F238E27FC236}">
              <a16:creationId xmlns:a16="http://schemas.microsoft.com/office/drawing/2014/main" id="{00000000-0008-0000-0700-0000AB2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0156" name="Picture 4" descr="C:\WINDOWS\TEMP\Symbol.gif">
          <a:extLst>
            <a:ext uri="{FF2B5EF4-FFF2-40B4-BE49-F238E27FC236}">
              <a16:creationId xmlns:a16="http://schemas.microsoft.com/office/drawing/2014/main" id="{00000000-0008-0000-0700-0000AC2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0157" name="Picture 5" descr="C:\WINDOWS\TEMP\~0003946.gif">
          <a:extLst>
            <a:ext uri="{FF2B5EF4-FFF2-40B4-BE49-F238E27FC236}">
              <a16:creationId xmlns:a16="http://schemas.microsoft.com/office/drawing/2014/main" id="{00000000-0008-0000-0700-0000AD2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0158" name="Picture 6" descr="C:\WINDOWS\TEMP\~0003946.gif">
          <a:extLst>
            <a:ext uri="{FF2B5EF4-FFF2-40B4-BE49-F238E27FC236}">
              <a16:creationId xmlns:a16="http://schemas.microsoft.com/office/drawing/2014/main" id="{00000000-0008-0000-0700-0000AE2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0159" name="Picture 7" descr="C:\WINDOWS\TEMP\~0003946.gif">
          <a:extLst>
            <a:ext uri="{FF2B5EF4-FFF2-40B4-BE49-F238E27FC236}">
              <a16:creationId xmlns:a16="http://schemas.microsoft.com/office/drawing/2014/main" id="{00000000-0008-0000-0700-0000AF2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0160" name="Picture 8" descr="C:\WINDOWS\TEMP\~0003946.gif">
          <a:extLst>
            <a:ext uri="{FF2B5EF4-FFF2-40B4-BE49-F238E27FC236}">
              <a16:creationId xmlns:a16="http://schemas.microsoft.com/office/drawing/2014/main" id="{00000000-0008-0000-0700-0000B02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52</xdr:row>
      <xdr:rowOff>190500</xdr:rowOff>
    </xdr:from>
    <xdr:to>
      <xdr:col>1</xdr:col>
      <xdr:colOff>0</xdr:colOff>
      <xdr:row>53</xdr:row>
      <xdr:rowOff>228600</xdr:rowOff>
    </xdr:to>
    <xdr:pic>
      <xdr:nvPicPr>
        <xdr:cNvPr id="11177" name="Picture 1" descr="C:\WINDOWS\TEMP\Symbol.gif">
          <a:extLst>
            <a:ext uri="{FF2B5EF4-FFF2-40B4-BE49-F238E27FC236}">
              <a16:creationId xmlns:a16="http://schemas.microsoft.com/office/drawing/2014/main" id="{00000000-0008-0000-0800-0000A92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6870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19050</xdr:colOff>
      <xdr:row>114</xdr:row>
      <xdr:rowOff>200025</xdr:rowOff>
    </xdr:to>
    <xdr:pic>
      <xdr:nvPicPr>
        <xdr:cNvPr id="11178" name="Picture 2" descr="C:\WINDOWS\TEMP\Symbol.gif">
          <a:extLst>
            <a:ext uri="{FF2B5EF4-FFF2-40B4-BE49-F238E27FC236}">
              <a16:creationId xmlns:a16="http://schemas.microsoft.com/office/drawing/2014/main" id="{00000000-0008-0000-0800-0000AA2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07675"/>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167</xdr:row>
      <xdr:rowOff>171450</xdr:rowOff>
    </xdr:from>
    <xdr:to>
      <xdr:col>1</xdr:col>
      <xdr:colOff>47625</xdr:colOff>
      <xdr:row>168</xdr:row>
      <xdr:rowOff>209550</xdr:rowOff>
    </xdr:to>
    <xdr:pic>
      <xdr:nvPicPr>
        <xdr:cNvPr id="11179" name="Picture 3" descr="C:\WINDOWS\TEMP\Symbol.gif">
          <a:extLst>
            <a:ext uri="{FF2B5EF4-FFF2-40B4-BE49-F238E27FC236}">
              <a16:creationId xmlns:a16="http://schemas.microsoft.com/office/drawing/2014/main" id="{00000000-0008-0000-0800-0000AB2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419475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221</xdr:row>
      <xdr:rowOff>161925</xdr:rowOff>
    </xdr:from>
    <xdr:to>
      <xdr:col>1</xdr:col>
      <xdr:colOff>9525</xdr:colOff>
      <xdr:row>222</xdr:row>
      <xdr:rowOff>200025</xdr:rowOff>
    </xdr:to>
    <xdr:pic>
      <xdr:nvPicPr>
        <xdr:cNvPr id="11180" name="Picture 4" descr="C:\WINDOWS\TEMP\Symbol.gif">
          <a:extLst>
            <a:ext uri="{FF2B5EF4-FFF2-40B4-BE49-F238E27FC236}">
              <a16:creationId xmlns:a16="http://schemas.microsoft.com/office/drawing/2014/main" id="{00000000-0008-0000-0800-0000AC2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50723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1095375</xdr:colOff>
      <xdr:row>221</xdr:row>
      <xdr:rowOff>123825</xdr:rowOff>
    </xdr:from>
    <xdr:to>
      <xdr:col>13</xdr:col>
      <xdr:colOff>1895475</xdr:colOff>
      <xdr:row>222</xdr:row>
      <xdr:rowOff>152400</xdr:rowOff>
    </xdr:to>
    <xdr:pic>
      <xdr:nvPicPr>
        <xdr:cNvPr id="11181" name="Picture 5" descr="C:\WINDOWS\TEMP\~0003946.gif">
          <a:extLst>
            <a:ext uri="{FF2B5EF4-FFF2-40B4-BE49-F238E27FC236}">
              <a16:creationId xmlns:a16="http://schemas.microsoft.com/office/drawing/2014/main" id="{00000000-0008-0000-0800-0000AD2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69075" y="4503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1123950</xdr:colOff>
      <xdr:row>167</xdr:row>
      <xdr:rowOff>152400</xdr:rowOff>
    </xdr:from>
    <xdr:to>
      <xdr:col>13</xdr:col>
      <xdr:colOff>1924050</xdr:colOff>
      <xdr:row>168</xdr:row>
      <xdr:rowOff>180975</xdr:rowOff>
    </xdr:to>
    <xdr:pic>
      <xdr:nvPicPr>
        <xdr:cNvPr id="11182" name="Picture 6" descr="C:\WINDOWS\TEMP\~0003946.gif">
          <a:extLst>
            <a:ext uri="{FF2B5EF4-FFF2-40B4-BE49-F238E27FC236}">
              <a16:creationId xmlns:a16="http://schemas.microsoft.com/office/drawing/2014/main" id="{00000000-0008-0000-0800-0000AE2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297650" y="3417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113</xdr:row>
      <xdr:rowOff>161925</xdr:rowOff>
    </xdr:from>
    <xdr:to>
      <xdr:col>13</xdr:col>
      <xdr:colOff>1952625</xdr:colOff>
      <xdr:row>114</xdr:row>
      <xdr:rowOff>190500</xdr:rowOff>
    </xdr:to>
    <xdr:pic>
      <xdr:nvPicPr>
        <xdr:cNvPr id="11183" name="Picture 7" descr="C:\WINDOWS\TEMP\~0003946.gif">
          <a:extLst>
            <a:ext uri="{FF2B5EF4-FFF2-40B4-BE49-F238E27FC236}">
              <a16:creationId xmlns:a16="http://schemas.microsoft.com/office/drawing/2014/main" id="{00000000-0008-0000-0800-0000AF2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23307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1152525</xdr:colOff>
      <xdr:row>52</xdr:row>
      <xdr:rowOff>161925</xdr:rowOff>
    </xdr:from>
    <xdr:to>
      <xdr:col>13</xdr:col>
      <xdr:colOff>1952625</xdr:colOff>
      <xdr:row>53</xdr:row>
      <xdr:rowOff>190500</xdr:rowOff>
    </xdr:to>
    <xdr:pic>
      <xdr:nvPicPr>
        <xdr:cNvPr id="11184" name="Picture 8" descr="C:\WINDOWS\TEMP\~0003946.gif">
          <a:extLst>
            <a:ext uri="{FF2B5EF4-FFF2-40B4-BE49-F238E27FC236}">
              <a16:creationId xmlns:a16="http://schemas.microsoft.com/office/drawing/2014/main" id="{00000000-0008-0000-0800-0000B02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9326225" y="10658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89CB31"/>
  </sheetPr>
  <dimension ref="A1:P221"/>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3.81640625" style="1" customWidth="1"/>
    <col min="9" max="9" width="12.81640625" style="1" customWidth="1"/>
    <col min="10" max="10" width="8" style="1" customWidth="1"/>
    <col min="11" max="11" width="12.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
      <c r="C9" s="13"/>
      <c r="D9" s="13"/>
      <c r="E9" s="9"/>
      <c r="F9" s="9"/>
      <c r="G9" s="9"/>
      <c r="H9" s="9"/>
      <c r="I9" s="9"/>
      <c r="J9" s="9"/>
      <c r="K9" s="9"/>
      <c r="L9" s="9"/>
      <c r="M9" s="9"/>
      <c r="N9" s="9"/>
      <c r="O9" s="6"/>
    </row>
    <row r="10" spans="1:15" ht="16.2" x14ac:dyDescent="0.35">
      <c r="A10" s="7"/>
      <c r="B10" s="12"/>
      <c r="C10" s="13"/>
      <c r="D10" s="13"/>
      <c r="E10" s="15"/>
      <c r="F10" s="15"/>
      <c r="G10" s="9"/>
      <c r="H10" s="9"/>
      <c r="I10" s="9"/>
      <c r="J10" s="9"/>
      <c r="K10" s="9"/>
      <c r="L10" s="9"/>
      <c r="M10" s="9"/>
      <c r="N10" s="9"/>
      <c r="O10" s="6"/>
    </row>
    <row r="11" spans="1:15" ht="15.6" x14ac:dyDescent="0.3">
      <c r="A11" s="7"/>
      <c r="B11" s="16" t="s">
        <v>4</v>
      </c>
      <c r="C11" s="15"/>
      <c r="D11" s="15"/>
      <c r="E11" s="9"/>
      <c r="F11" s="9"/>
      <c r="G11" s="9"/>
      <c r="H11" s="9"/>
      <c r="I11" s="9"/>
      <c r="J11" s="9"/>
      <c r="K11" s="9"/>
      <c r="L11" s="9"/>
      <c r="M11" s="9"/>
      <c r="N11" s="9"/>
      <c r="O11" s="6"/>
    </row>
    <row r="12" spans="1:15" ht="15.6" x14ac:dyDescent="0.3">
      <c r="A12" s="7"/>
      <c r="B12" s="15"/>
      <c r="C12" s="15"/>
      <c r="D12" s="15"/>
      <c r="E12" s="9"/>
      <c r="F12" s="9"/>
      <c r="G12" s="9"/>
      <c r="H12" s="9"/>
      <c r="I12" s="9"/>
      <c r="J12" s="9"/>
      <c r="K12" s="9"/>
      <c r="L12" s="9"/>
      <c r="M12" s="9"/>
      <c r="N12" s="9"/>
      <c r="O12" s="6"/>
    </row>
    <row r="13" spans="1:15" ht="15.6" x14ac:dyDescent="0.3">
      <c r="A13" s="2"/>
      <c r="B13" s="5"/>
      <c r="C13" s="5"/>
      <c r="D13" s="5"/>
      <c r="E13" s="5"/>
      <c r="F13" s="5"/>
      <c r="G13" s="5"/>
      <c r="H13" s="5"/>
      <c r="I13" s="5"/>
      <c r="J13" s="5"/>
      <c r="K13" s="5"/>
      <c r="L13" s="5"/>
      <c r="M13" s="5"/>
      <c r="N13" s="5"/>
      <c r="O13" s="6"/>
    </row>
    <row r="14" spans="1:15" ht="15.6" x14ac:dyDescent="0.3">
      <c r="A14" s="7"/>
      <c r="B14" s="16" t="s">
        <v>5</v>
      </c>
      <c r="C14" s="16"/>
      <c r="D14" s="16"/>
      <c r="E14" s="17"/>
      <c r="F14" s="17"/>
      <c r="G14" s="17"/>
      <c r="H14" s="17"/>
      <c r="I14" s="17"/>
      <c r="J14" s="17"/>
      <c r="K14" s="17"/>
      <c r="L14" s="17"/>
      <c r="M14" s="18" t="s">
        <v>151</v>
      </c>
      <c r="N14" s="17"/>
      <c r="O14" s="6"/>
    </row>
    <row r="15" spans="1:15" ht="15.6" x14ac:dyDescent="0.3">
      <c r="A15" s="7"/>
      <c r="B15" s="16" t="s">
        <v>6</v>
      </c>
      <c r="C15" s="16"/>
      <c r="D15" s="16"/>
      <c r="E15" s="17"/>
      <c r="F15" s="17"/>
      <c r="G15" s="17"/>
      <c r="H15" s="17"/>
      <c r="I15" s="19"/>
      <c r="J15" s="20"/>
      <c r="K15" s="19" t="s">
        <v>150</v>
      </c>
      <c r="L15" s="20">
        <v>1</v>
      </c>
      <c r="M15" s="18"/>
      <c r="N15" s="17"/>
      <c r="O15" s="6"/>
    </row>
    <row r="16" spans="1:15" ht="15.6" x14ac:dyDescent="0.3">
      <c r="A16" s="7"/>
      <c r="B16" s="16" t="s">
        <v>7</v>
      </c>
      <c r="C16" s="16"/>
      <c r="D16" s="16"/>
      <c r="E16" s="17"/>
      <c r="F16" s="17"/>
      <c r="G16" s="17"/>
      <c r="H16" s="17"/>
      <c r="I16" s="19"/>
      <c r="J16" s="20"/>
      <c r="K16" s="19" t="s">
        <v>150</v>
      </c>
      <c r="L16" s="20">
        <v>1</v>
      </c>
      <c r="M16" s="18"/>
      <c r="N16" s="17"/>
      <c r="O16" s="6"/>
    </row>
    <row r="17" spans="1:15" ht="15.6" x14ac:dyDescent="0.3">
      <c r="A17" s="7"/>
      <c r="B17" s="16" t="s">
        <v>8</v>
      </c>
      <c r="C17" s="16"/>
      <c r="D17" s="16"/>
      <c r="E17" s="17"/>
      <c r="F17" s="17"/>
      <c r="G17" s="17"/>
      <c r="H17" s="17"/>
      <c r="I17" s="17"/>
      <c r="J17" s="17"/>
      <c r="K17" s="17"/>
      <c r="L17" s="17"/>
      <c r="M17" s="21">
        <v>38336</v>
      </c>
      <c r="N17" s="17"/>
      <c r="O17" s="6"/>
    </row>
    <row r="18" spans="1:15" ht="15.6" x14ac:dyDescent="0.3">
      <c r="A18" s="7"/>
      <c r="B18" s="16" t="s">
        <v>9</v>
      </c>
      <c r="C18" s="16"/>
      <c r="D18" s="16"/>
      <c r="E18" s="17"/>
      <c r="F18" s="17"/>
      <c r="G18" s="17"/>
      <c r="H18" s="17"/>
      <c r="I18" s="17"/>
      <c r="J18" s="17"/>
      <c r="K18" s="17"/>
      <c r="L18" s="17"/>
      <c r="M18" s="21">
        <v>38492</v>
      </c>
      <c r="N18" s="17"/>
      <c r="O18" s="6"/>
    </row>
    <row r="19" spans="1:15" ht="15.6" x14ac:dyDescent="0.3">
      <c r="A19" s="7"/>
      <c r="B19" s="9"/>
      <c r="C19" s="9"/>
      <c r="D19" s="9"/>
      <c r="E19" s="9"/>
      <c r="F19" s="9"/>
      <c r="G19" s="9"/>
      <c r="H19" s="9"/>
      <c r="I19" s="9"/>
      <c r="J19" s="9"/>
      <c r="K19" s="9"/>
      <c r="L19" s="9"/>
      <c r="M19" s="22"/>
      <c r="N19" s="9"/>
      <c r="O19" s="6"/>
    </row>
    <row r="20" spans="1:15" ht="15.6" x14ac:dyDescent="0.3">
      <c r="A20" s="7"/>
      <c r="B20" s="23" t="s">
        <v>10</v>
      </c>
      <c r="C20" s="9"/>
      <c r="D20" s="9"/>
      <c r="E20" s="9"/>
      <c r="F20" s="9"/>
      <c r="G20" s="9"/>
      <c r="H20" s="9"/>
      <c r="I20" s="9"/>
      <c r="J20" s="9"/>
      <c r="K20" s="22" t="s">
        <v>130</v>
      </c>
      <c r="L20" s="9"/>
      <c r="M20" s="14"/>
      <c r="N20" s="9"/>
      <c r="O20" s="6"/>
    </row>
    <row r="21" spans="1:15" ht="15.6" x14ac:dyDescent="0.3">
      <c r="A21" s="7"/>
      <c r="B21" s="9"/>
      <c r="C21" s="9"/>
      <c r="D21" s="9"/>
      <c r="E21" s="9"/>
      <c r="F21" s="9"/>
      <c r="G21" s="9"/>
      <c r="H21" s="9"/>
      <c r="I21" s="9"/>
      <c r="J21" s="9"/>
      <c r="K21" s="9"/>
      <c r="L21" s="9"/>
      <c r="M21" s="24"/>
      <c r="N21" s="9"/>
      <c r="O21" s="6"/>
    </row>
    <row r="22" spans="1:15" ht="15.6" x14ac:dyDescent="0.3">
      <c r="A22" s="7"/>
      <c r="B22" s="9"/>
      <c r="C22" s="120" t="s">
        <v>131</v>
      </c>
      <c r="D22" s="120"/>
      <c r="E22" s="120" t="s">
        <v>124</v>
      </c>
      <c r="F22" s="120"/>
      <c r="G22" s="120" t="s">
        <v>152</v>
      </c>
      <c r="H22" s="120"/>
      <c r="I22" s="120"/>
      <c r="J22" s="121"/>
      <c r="K22" s="25"/>
      <c r="L22" s="14"/>
      <c r="M22" s="14"/>
      <c r="N22" s="9"/>
      <c r="O22" s="6"/>
    </row>
    <row r="23" spans="1:15" ht="15.6" x14ac:dyDescent="0.3">
      <c r="A23" s="26"/>
      <c r="B23" s="27" t="s">
        <v>156</v>
      </c>
      <c r="C23" s="28" t="s">
        <v>121</v>
      </c>
      <c r="D23" s="28"/>
      <c r="E23" s="28" t="s">
        <v>125</v>
      </c>
      <c r="F23" s="28"/>
      <c r="G23" s="28" t="s">
        <v>158</v>
      </c>
      <c r="H23" s="28"/>
      <c r="I23" s="28"/>
      <c r="J23" s="28"/>
      <c r="K23" s="28"/>
      <c r="L23" s="29"/>
      <c r="M23" s="29"/>
      <c r="N23" s="27"/>
      <c r="O23" s="6"/>
    </row>
    <row r="24" spans="1:15" ht="15.6" x14ac:dyDescent="0.3">
      <c r="A24" s="26"/>
      <c r="B24" s="27" t="s">
        <v>11</v>
      </c>
      <c r="C24" s="28" t="s">
        <v>121</v>
      </c>
      <c r="D24" s="28"/>
      <c r="E24" s="28" t="s">
        <v>125</v>
      </c>
      <c r="F24" s="28"/>
      <c r="G24" s="28" t="s">
        <v>158</v>
      </c>
      <c r="H24" s="28"/>
      <c r="I24" s="28"/>
      <c r="J24" s="28"/>
      <c r="K24" s="28"/>
      <c r="L24" s="29"/>
      <c r="M24" s="29"/>
      <c r="N24" s="27"/>
      <c r="O24" s="6"/>
    </row>
    <row r="25" spans="1:15" ht="15.6" x14ac:dyDescent="0.3">
      <c r="A25" s="30"/>
      <c r="B25" s="31" t="s">
        <v>157</v>
      </c>
      <c r="C25" s="32" t="s">
        <v>121</v>
      </c>
      <c r="D25" s="32"/>
      <c r="E25" s="32" t="s">
        <v>125</v>
      </c>
      <c r="F25" s="32"/>
      <c r="G25" s="32" t="s">
        <v>158</v>
      </c>
      <c r="H25" s="32"/>
      <c r="I25" s="32"/>
      <c r="J25" s="28"/>
      <c r="K25" s="28"/>
      <c r="L25" s="29"/>
      <c r="M25" s="29"/>
      <c r="N25" s="27"/>
      <c r="O25" s="6"/>
    </row>
    <row r="26" spans="1:15" ht="15.6" x14ac:dyDescent="0.3">
      <c r="A26" s="30"/>
      <c r="B26" s="31" t="s">
        <v>12</v>
      </c>
      <c r="C26" s="32" t="s">
        <v>121</v>
      </c>
      <c r="D26" s="32"/>
      <c r="E26" s="32" t="s">
        <v>125</v>
      </c>
      <c r="F26" s="32"/>
      <c r="G26" s="32" t="s">
        <v>158</v>
      </c>
      <c r="H26" s="32"/>
      <c r="I26" s="32"/>
      <c r="J26" s="28"/>
      <c r="K26" s="28"/>
      <c r="L26" s="29"/>
      <c r="M26" s="29"/>
      <c r="N26" s="27"/>
      <c r="O26" s="6"/>
    </row>
    <row r="27" spans="1:15" ht="15.6" x14ac:dyDescent="0.3">
      <c r="A27" s="26"/>
      <c r="B27" s="27" t="s">
        <v>13</v>
      </c>
      <c r="C27" s="33" t="s">
        <v>153</v>
      </c>
      <c r="D27" s="28"/>
      <c r="E27" s="33" t="s">
        <v>154</v>
      </c>
      <c r="F27" s="28"/>
      <c r="G27" s="33" t="s">
        <v>155</v>
      </c>
      <c r="H27" s="28"/>
      <c r="I27" s="33"/>
      <c r="J27" s="28"/>
      <c r="K27" s="33"/>
      <c r="L27" s="29"/>
      <c r="M27" s="29"/>
      <c r="N27" s="27"/>
      <c r="O27" s="6"/>
    </row>
    <row r="28" spans="1:15" ht="15.6" x14ac:dyDescent="0.3">
      <c r="A28" s="26"/>
      <c r="B28" s="27"/>
      <c r="C28" s="27"/>
      <c r="D28" s="28"/>
      <c r="E28" s="28"/>
      <c r="F28" s="28"/>
      <c r="G28" s="28"/>
      <c r="H28" s="28"/>
      <c r="I28" s="28"/>
      <c r="J28" s="28"/>
      <c r="K28" s="28"/>
      <c r="L28" s="29"/>
      <c r="M28" s="29"/>
      <c r="N28" s="27"/>
      <c r="O28" s="6"/>
    </row>
    <row r="29" spans="1:15" ht="15.6" x14ac:dyDescent="0.3">
      <c r="A29" s="26"/>
      <c r="B29" s="27" t="s">
        <v>14</v>
      </c>
      <c r="C29" s="34">
        <v>231000</v>
      </c>
      <c r="D29" s="35"/>
      <c r="E29" s="34">
        <v>42000</v>
      </c>
      <c r="F29" s="34"/>
      <c r="G29" s="34">
        <v>27000</v>
      </c>
      <c r="H29" s="34"/>
      <c r="I29" s="34"/>
      <c r="J29" s="34"/>
      <c r="K29" s="34"/>
      <c r="L29" s="36"/>
      <c r="M29" s="34">
        <f>C29+E29+G29</f>
        <v>300000</v>
      </c>
      <c r="N29" s="37"/>
      <c r="O29" s="6"/>
    </row>
    <row r="30" spans="1:15" ht="15.6" x14ac:dyDescent="0.3">
      <c r="A30" s="26"/>
      <c r="B30" s="27" t="s">
        <v>15</v>
      </c>
      <c r="C30" s="34">
        <f>C29*C33</f>
        <v>231000</v>
      </c>
      <c r="D30" s="35"/>
      <c r="E30" s="34">
        <v>42000</v>
      </c>
      <c r="F30" s="34"/>
      <c r="G30" s="34">
        <v>27000</v>
      </c>
      <c r="H30" s="34"/>
      <c r="I30" s="34"/>
      <c r="J30" s="34"/>
      <c r="K30" s="34"/>
      <c r="L30" s="36"/>
      <c r="M30" s="34">
        <f>C30+E30+G30</f>
        <v>300000</v>
      </c>
      <c r="N30" s="37"/>
      <c r="O30" s="6"/>
    </row>
    <row r="31" spans="1:15" ht="15.6" x14ac:dyDescent="0.3">
      <c r="A31" s="30"/>
      <c r="B31" s="31" t="s">
        <v>16</v>
      </c>
      <c r="C31" s="38">
        <f>C29*C32</f>
        <v>231000</v>
      </c>
      <c r="D31" s="39"/>
      <c r="E31" s="38">
        <v>42000</v>
      </c>
      <c r="F31" s="38"/>
      <c r="G31" s="38">
        <v>27000</v>
      </c>
      <c r="H31" s="38"/>
      <c r="I31" s="38"/>
      <c r="J31" s="38"/>
      <c r="K31" s="38"/>
      <c r="L31" s="40"/>
      <c r="M31" s="34">
        <f>C31+E31+G31</f>
        <v>300000</v>
      </c>
      <c r="N31" s="37"/>
      <c r="O31" s="6"/>
    </row>
    <row r="32" spans="1:15" ht="15.6" x14ac:dyDescent="0.3">
      <c r="A32" s="30"/>
      <c r="B32" s="130" t="s">
        <v>174</v>
      </c>
      <c r="C32" s="134">
        <v>1</v>
      </c>
      <c r="D32" s="133"/>
      <c r="E32" s="134">
        <v>1</v>
      </c>
      <c r="F32" s="134"/>
      <c r="G32" s="134">
        <v>1</v>
      </c>
      <c r="H32" s="132"/>
      <c r="I32" s="132"/>
      <c r="J32" s="38"/>
      <c r="K32" s="38"/>
      <c r="L32" s="40"/>
      <c r="M32" s="38"/>
      <c r="N32" s="37"/>
      <c r="O32" s="6"/>
    </row>
    <row r="33" spans="1:15" ht="15.6" x14ac:dyDescent="0.3">
      <c r="A33" s="30"/>
      <c r="B33" s="130" t="s">
        <v>175</v>
      </c>
      <c r="C33" s="134">
        <v>1</v>
      </c>
      <c r="D33" s="133"/>
      <c r="E33" s="134">
        <v>1</v>
      </c>
      <c r="F33" s="134"/>
      <c r="G33" s="134">
        <v>1</v>
      </c>
      <c r="H33" s="132"/>
      <c r="I33" s="132"/>
      <c r="J33" s="38"/>
      <c r="K33" s="38"/>
      <c r="L33" s="40"/>
      <c r="M33" s="38"/>
      <c r="N33" s="37"/>
      <c r="O33" s="6"/>
    </row>
    <row r="34" spans="1:15" ht="15.6" x14ac:dyDescent="0.3">
      <c r="A34" s="26"/>
      <c r="B34" s="27" t="s">
        <v>17</v>
      </c>
      <c r="C34" s="33" t="s">
        <v>159</v>
      </c>
      <c r="D34" s="27"/>
      <c r="E34" s="33" t="s">
        <v>160</v>
      </c>
      <c r="F34" s="33"/>
      <c r="G34" s="33" t="s">
        <v>161</v>
      </c>
      <c r="H34" s="33"/>
      <c r="I34" s="33"/>
      <c r="J34" s="33"/>
      <c r="K34" s="33"/>
      <c r="L34" s="29"/>
      <c r="M34" s="29"/>
      <c r="N34" s="27"/>
      <c r="O34" s="6"/>
    </row>
    <row r="35" spans="1:15" ht="15.6" x14ac:dyDescent="0.3">
      <c r="A35" s="26"/>
      <c r="B35" s="27" t="s">
        <v>18</v>
      </c>
      <c r="C35" s="41">
        <v>5.0837500000000001E-2</v>
      </c>
      <c r="D35" s="27"/>
      <c r="E35" s="41">
        <v>5.6337499999999999E-2</v>
      </c>
      <c r="F35" s="42"/>
      <c r="G35" s="41">
        <v>5.8837500000000001E-2</v>
      </c>
      <c r="H35" s="42"/>
      <c r="I35" s="41"/>
      <c r="J35" s="42"/>
      <c r="K35" s="41"/>
      <c r="L35" s="29"/>
      <c r="M35" s="42">
        <f>SUMPRODUCT(C35:G35,C29:G29)/M29</f>
        <v>5.2327499999999992E-2</v>
      </c>
      <c r="N35" s="27"/>
      <c r="O35" s="6"/>
    </row>
    <row r="36" spans="1:15" ht="15.6" x14ac:dyDescent="0.3">
      <c r="A36" s="26"/>
      <c r="B36" s="27" t="s">
        <v>19</v>
      </c>
      <c r="C36" s="41">
        <v>0</v>
      </c>
      <c r="D36" s="27"/>
      <c r="E36" s="41">
        <v>0</v>
      </c>
      <c r="F36" s="42"/>
      <c r="G36" s="41">
        <v>0</v>
      </c>
      <c r="H36" s="42"/>
      <c r="I36" s="41"/>
      <c r="J36" s="42"/>
      <c r="K36" s="41"/>
      <c r="L36" s="29"/>
      <c r="M36" s="29"/>
      <c r="N36" s="27"/>
      <c r="O36" s="6"/>
    </row>
    <row r="37" spans="1:15" ht="15.6" x14ac:dyDescent="0.3">
      <c r="A37" s="26"/>
      <c r="B37" s="27" t="s">
        <v>20</v>
      </c>
      <c r="C37" s="118">
        <v>39767</v>
      </c>
      <c r="D37" s="118"/>
      <c r="E37" s="118">
        <v>39767</v>
      </c>
      <c r="F37" s="118"/>
      <c r="G37" s="118">
        <v>39767</v>
      </c>
      <c r="H37" s="118"/>
      <c r="I37" s="118"/>
      <c r="J37" s="33"/>
      <c r="K37" s="33"/>
      <c r="L37" s="29"/>
      <c r="M37" s="29"/>
      <c r="N37" s="27"/>
      <c r="O37" s="6"/>
    </row>
    <row r="38" spans="1:15" ht="15.6" x14ac:dyDescent="0.3">
      <c r="A38" s="26"/>
      <c r="B38" s="27" t="s">
        <v>21</v>
      </c>
      <c r="C38" s="118">
        <v>40132</v>
      </c>
      <c r="D38" s="118"/>
      <c r="E38" s="118">
        <v>40132</v>
      </c>
      <c r="F38" s="118"/>
      <c r="G38" s="118">
        <v>40132</v>
      </c>
      <c r="H38" s="118"/>
      <c r="I38" s="118"/>
      <c r="J38" s="33"/>
      <c r="K38" s="33"/>
      <c r="L38" s="29"/>
      <c r="M38" s="29"/>
      <c r="N38" s="27"/>
      <c r="O38" s="6"/>
    </row>
    <row r="39" spans="1:15" ht="15.6" x14ac:dyDescent="0.3">
      <c r="A39" s="26"/>
      <c r="B39" s="27" t="s">
        <v>22</v>
      </c>
      <c r="C39" s="33" t="s">
        <v>164</v>
      </c>
      <c r="D39" s="27"/>
      <c r="E39" s="33" t="s">
        <v>163</v>
      </c>
      <c r="F39" s="33"/>
      <c r="G39" s="33" t="s">
        <v>162</v>
      </c>
      <c r="H39" s="33"/>
      <c r="I39" s="33"/>
      <c r="J39" s="33"/>
      <c r="K39" s="33"/>
      <c r="L39" s="29"/>
      <c r="M39" s="29"/>
      <c r="N39" s="27"/>
      <c r="O39" s="6"/>
    </row>
    <row r="40" spans="1:15" ht="15.6" x14ac:dyDescent="0.3">
      <c r="A40" s="26"/>
      <c r="B40" s="27"/>
      <c r="C40" s="27"/>
      <c r="D40" s="27"/>
      <c r="E40" s="33"/>
      <c r="F40" s="27"/>
      <c r="G40" s="33"/>
      <c r="H40" s="33"/>
      <c r="I40" s="33"/>
      <c r="J40" s="43"/>
      <c r="K40" s="43"/>
      <c r="L40" s="43"/>
      <c r="M40" s="43"/>
      <c r="N40" s="27"/>
      <c r="O40" s="6"/>
    </row>
    <row r="41" spans="1:15" ht="15.6" x14ac:dyDescent="0.3">
      <c r="A41" s="26"/>
      <c r="B41" s="27" t="s">
        <v>178</v>
      </c>
      <c r="C41" s="27"/>
      <c r="D41" s="27"/>
      <c r="E41" s="27"/>
      <c r="F41" s="27"/>
      <c r="G41" s="44"/>
      <c r="H41" s="27"/>
      <c r="I41" s="44"/>
      <c r="J41" s="27"/>
      <c r="K41" s="27"/>
      <c r="L41" s="27"/>
      <c r="M41" s="42">
        <f>(E29+G29)/C29</f>
        <v>0.29870129870129869</v>
      </c>
      <c r="N41" s="27"/>
      <c r="O41" s="6"/>
    </row>
    <row r="42" spans="1:15" ht="15.6" x14ac:dyDescent="0.3">
      <c r="A42" s="26"/>
      <c r="B42" s="27" t="s">
        <v>179</v>
      </c>
      <c r="C42" s="27"/>
      <c r="D42" s="27"/>
      <c r="E42" s="27"/>
      <c r="F42" s="27"/>
      <c r="G42" s="44"/>
      <c r="H42" s="27"/>
      <c r="I42" s="44"/>
      <c r="J42" s="27"/>
      <c r="K42" s="27"/>
      <c r="L42" s="27"/>
      <c r="M42" s="42">
        <f>(G31+E31)/C31</f>
        <v>0.29870129870129869</v>
      </c>
      <c r="N42" s="27"/>
      <c r="O42" s="6"/>
    </row>
    <row r="43" spans="1:15" ht="15.6" x14ac:dyDescent="0.3">
      <c r="A43" s="26"/>
      <c r="B43" s="27" t="s">
        <v>23</v>
      </c>
      <c r="C43" s="27"/>
      <c r="D43" s="27"/>
      <c r="E43" s="27"/>
      <c r="F43" s="27"/>
      <c r="G43" s="27"/>
      <c r="H43" s="27"/>
      <c r="I43" s="27"/>
      <c r="J43" s="27"/>
      <c r="K43" s="33" t="s">
        <v>131</v>
      </c>
      <c r="L43" s="33" t="s">
        <v>138</v>
      </c>
      <c r="M43" s="34">
        <f>+M29/2-E29-G29</f>
        <v>81000</v>
      </c>
      <c r="N43" s="27"/>
      <c r="O43" s="6"/>
    </row>
    <row r="44" spans="1:15" ht="15.6" x14ac:dyDescent="0.3">
      <c r="A44" s="26"/>
      <c r="B44" s="27"/>
      <c r="C44" s="27"/>
      <c r="D44" s="27"/>
      <c r="E44" s="27"/>
      <c r="F44" s="27"/>
      <c r="G44" s="27"/>
      <c r="H44" s="27"/>
      <c r="I44" s="27"/>
      <c r="J44" s="27"/>
      <c r="K44" s="27" t="s">
        <v>235</v>
      </c>
      <c r="L44" s="27"/>
      <c r="M44" s="45"/>
      <c r="N44" s="27"/>
      <c r="O44" s="6"/>
    </row>
    <row r="45" spans="1:15" ht="15.6" x14ac:dyDescent="0.3">
      <c r="A45" s="26"/>
      <c r="B45" s="27" t="s">
        <v>24</v>
      </c>
      <c r="C45" s="27"/>
      <c r="D45" s="27"/>
      <c r="E45" s="27"/>
      <c r="F45" s="27"/>
      <c r="G45" s="27"/>
      <c r="H45" s="27"/>
      <c r="I45" s="27"/>
      <c r="J45" s="27"/>
      <c r="K45" s="33"/>
      <c r="L45" s="33"/>
      <c r="M45" s="33" t="s">
        <v>140</v>
      </c>
      <c r="N45" s="27"/>
      <c r="O45" s="6"/>
    </row>
    <row r="46" spans="1:15" ht="15.6" x14ac:dyDescent="0.3">
      <c r="A46" s="26"/>
      <c r="B46" s="31" t="s">
        <v>25</v>
      </c>
      <c r="C46" s="31"/>
      <c r="D46" s="31"/>
      <c r="E46" s="31"/>
      <c r="F46" s="31"/>
      <c r="G46" s="31"/>
      <c r="H46" s="31"/>
      <c r="I46" s="31"/>
      <c r="J46" s="31"/>
      <c r="K46" s="46"/>
      <c r="L46" s="46"/>
      <c r="M46" s="47">
        <v>38488</v>
      </c>
      <c r="N46" s="27"/>
      <c r="O46" s="6"/>
    </row>
    <row r="47" spans="1:15" ht="15.6" x14ac:dyDescent="0.3">
      <c r="A47" s="26"/>
      <c r="B47" s="27" t="s">
        <v>26</v>
      </c>
      <c r="C47" s="27"/>
      <c r="D47" s="27"/>
      <c r="E47" s="27"/>
      <c r="F47" s="27"/>
      <c r="G47" s="27"/>
      <c r="H47" s="27"/>
      <c r="I47" s="27"/>
      <c r="J47" s="61"/>
      <c r="K47" s="48"/>
      <c r="L47" s="49"/>
      <c r="M47" s="48"/>
      <c r="N47" s="27"/>
      <c r="O47" s="6"/>
    </row>
    <row r="48" spans="1:15" ht="15.6" x14ac:dyDescent="0.3">
      <c r="A48" s="26"/>
      <c r="B48" s="27" t="s">
        <v>27</v>
      </c>
      <c r="C48" s="27"/>
      <c r="D48" s="27"/>
      <c r="E48" s="27"/>
      <c r="F48" s="27"/>
      <c r="G48" s="27"/>
      <c r="H48" s="27"/>
      <c r="I48" s="27"/>
      <c r="J48" s="27">
        <f>M48-K48+1</f>
        <v>152</v>
      </c>
      <c r="K48" s="48">
        <v>38336</v>
      </c>
      <c r="L48" s="49"/>
      <c r="M48" s="48">
        <v>38487</v>
      </c>
      <c r="N48" s="27"/>
      <c r="O48" s="6"/>
    </row>
    <row r="49" spans="1:15" ht="15.6" x14ac:dyDescent="0.3">
      <c r="A49" s="26"/>
      <c r="B49" s="27" t="s">
        <v>28</v>
      </c>
      <c r="C49" s="27"/>
      <c r="D49" s="27"/>
      <c r="E49" s="27"/>
      <c r="F49" s="27"/>
      <c r="G49" s="27"/>
      <c r="H49" s="27"/>
      <c r="I49" s="27"/>
      <c r="J49" s="27"/>
      <c r="K49" s="48"/>
      <c r="L49" s="49"/>
      <c r="M49" s="48" t="s">
        <v>141</v>
      </c>
      <c r="N49" s="27"/>
      <c r="O49" s="6"/>
    </row>
    <row r="50" spans="1:15" ht="15.6" x14ac:dyDescent="0.3">
      <c r="A50" s="26"/>
      <c r="B50" s="27" t="s">
        <v>29</v>
      </c>
      <c r="C50" s="27"/>
      <c r="D50" s="27"/>
      <c r="E50" s="27"/>
      <c r="F50" s="27"/>
      <c r="G50" s="27"/>
      <c r="H50" s="27"/>
      <c r="I50" s="27"/>
      <c r="J50" s="27"/>
      <c r="K50" s="48"/>
      <c r="L50" s="49"/>
      <c r="M50" s="48">
        <v>38475</v>
      </c>
      <c r="N50" s="27"/>
      <c r="O50" s="6"/>
    </row>
    <row r="51" spans="1:15" ht="15.6" x14ac:dyDescent="0.3">
      <c r="A51" s="26"/>
      <c r="B51" s="27"/>
      <c r="C51" s="27"/>
      <c r="D51" s="27"/>
      <c r="E51" s="27"/>
      <c r="F51" s="27"/>
      <c r="G51" s="27"/>
      <c r="H51" s="27"/>
      <c r="I51" s="27"/>
      <c r="J51" s="27"/>
      <c r="K51" s="48"/>
      <c r="L51" s="49"/>
      <c r="M51" s="48"/>
      <c r="N51" s="27"/>
      <c r="O51" s="6"/>
    </row>
    <row r="52" spans="1:15" ht="15.6" x14ac:dyDescent="0.3">
      <c r="A52" s="7"/>
      <c r="B52" s="9"/>
      <c r="C52" s="9"/>
      <c r="D52" s="9"/>
      <c r="E52" s="9"/>
      <c r="F52" s="9"/>
      <c r="G52" s="9"/>
      <c r="H52" s="9"/>
      <c r="I52" s="9"/>
      <c r="J52" s="9"/>
      <c r="K52" s="50"/>
      <c r="L52" s="51"/>
      <c r="M52" s="50"/>
      <c r="N52" s="9"/>
      <c r="O52" s="6"/>
    </row>
    <row r="53" spans="1:15" ht="18" thickBot="1" x14ac:dyDescent="0.35">
      <c r="A53" s="109"/>
      <c r="B53" s="110" t="s">
        <v>166</v>
      </c>
      <c r="C53" s="111"/>
      <c r="D53" s="111"/>
      <c r="E53" s="111"/>
      <c r="F53" s="111"/>
      <c r="G53" s="111"/>
      <c r="H53" s="111"/>
      <c r="I53" s="111"/>
      <c r="J53" s="111"/>
      <c r="K53" s="111"/>
      <c r="L53" s="111"/>
      <c r="M53" s="112"/>
      <c r="N53" s="113"/>
      <c r="O53" s="6"/>
    </row>
    <row r="54" spans="1:15" ht="15.6" x14ac:dyDescent="0.3">
      <c r="A54" s="2"/>
      <c r="B54" s="5"/>
      <c r="C54" s="5"/>
      <c r="D54" s="5"/>
      <c r="E54" s="5"/>
      <c r="F54" s="5"/>
      <c r="G54" s="5"/>
      <c r="H54" s="5"/>
      <c r="I54" s="5"/>
      <c r="J54" s="5"/>
      <c r="K54" s="5"/>
      <c r="L54" s="5"/>
      <c r="M54" s="53"/>
      <c r="N54" s="5"/>
      <c r="O54" s="6"/>
    </row>
    <row r="55" spans="1:15" ht="15.6" x14ac:dyDescent="0.3">
      <c r="A55" s="7"/>
      <c r="B55" s="54" t="s">
        <v>30</v>
      </c>
      <c r="C55" s="15"/>
      <c r="D55" s="15"/>
      <c r="E55" s="9"/>
      <c r="F55" s="9"/>
      <c r="G55" s="9"/>
      <c r="H55" s="9"/>
      <c r="I55" s="9"/>
      <c r="J55" s="9"/>
      <c r="K55" s="9"/>
      <c r="L55" s="9"/>
      <c r="M55" s="55"/>
      <c r="N55" s="9"/>
      <c r="O55" s="6"/>
    </row>
    <row r="56" spans="1:15" ht="15.6" x14ac:dyDescent="0.3">
      <c r="A56" s="7"/>
      <c r="B56" s="15"/>
      <c r="C56" s="15"/>
      <c r="D56" s="15"/>
      <c r="E56" s="9"/>
      <c r="F56" s="9"/>
      <c r="G56" s="9"/>
      <c r="H56" s="9"/>
      <c r="I56" s="9"/>
      <c r="J56" s="9"/>
      <c r="K56" s="9"/>
      <c r="L56" s="9"/>
      <c r="M56" s="55"/>
      <c r="N56" s="9"/>
      <c r="O56" s="6"/>
    </row>
    <row r="57" spans="1:15" ht="46.8" x14ac:dyDescent="0.3">
      <c r="A57" s="7"/>
      <c r="B57" s="122" t="s">
        <v>31</v>
      </c>
      <c r="C57" s="123" t="s">
        <v>119</v>
      </c>
      <c r="D57" s="123"/>
      <c r="E57" s="123" t="s">
        <v>122</v>
      </c>
      <c r="F57" s="123"/>
      <c r="G57" s="123" t="s">
        <v>123</v>
      </c>
      <c r="H57" s="123"/>
      <c r="I57" s="123" t="s">
        <v>126</v>
      </c>
      <c r="J57" s="123"/>
      <c r="K57" s="123" t="s">
        <v>132</v>
      </c>
      <c r="L57" s="123"/>
      <c r="M57" s="124" t="s">
        <v>142</v>
      </c>
      <c r="N57" s="125"/>
      <c r="O57" s="6"/>
    </row>
    <row r="58" spans="1:15" ht="15.6" x14ac:dyDescent="0.3">
      <c r="A58" s="26"/>
      <c r="B58" s="27" t="s">
        <v>32</v>
      </c>
      <c r="C58" s="37">
        <f>240614-323</f>
        <v>240291</v>
      </c>
      <c r="D58" s="37"/>
      <c r="E58" s="56">
        <f>240614-323</f>
        <v>240291</v>
      </c>
      <c r="F58" s="37"/>
      <c r="G58" s="37">
        <f>28686+4394+425+296+264</f>
        <v>34065</v>
      </c>
      <c r="H58" s="37"/>
      <c r="I58" s="37">
        <v>497</v>
      </c>
      <c r="J58" s="37"/>
      <c r="K58" s="37">
        <v>0</v>
      </c>
      <c r="L58" s="37"/>
      <c r="M58" s="56">
        <f>E58-G58+I58-K58</f>
        <v>206723</v>
      </c>
      <c r="N58" s="27"/>
      <c r="O58" s="6"/>
    </row>
    <row r="59" spans="1:15" ht="15.6" x14ac:dyDescent="0.3">
      <c r="A59" s="26"/>
      <c r="B59" s="27" t="s">
        <v>33</v>
      </c>
      <c r="C59" s="37">
        <f>748-206</f>
        <v>542</v>
      </c>
      <c r="D59" s="37"/>
      <c r="E59" s="56">
        <v>542</v>
      </c>
      <c r="F59" s="37"/>
      <c r="G59" s="37">
        <v>280</v>
      </c>
      <c r="H59" s="37"/>
      <c r="I59" s="37">
        <v>0</v>
      </c>
      <c r="J59" s="37"/>
      <c r="K59" s="37">
        <v>0</v>
      </c>
      <c r="L59" s="37"/>
      <c r="M59" s="56">
        <f>E59-G59+I59-K59</f>
        <v>262</v>
      </c>
      <c r="N59" s="27"/>
      <c r="O59" s="6"/>
    </row>
    <row r="60" spans="1:15" ht="15.6" x14ac:dyDescent="0.3">
      <c r="A60" s="26"/>
      <c r="B60" s="27"/>
      <c r="C60" s="37"/>
      <c r="D60" s="37"/>
      <c r="E60" s="56"/>
      <c r="F60" s="37"/>
      <c r="G60" s="37">
        <v>0</v>
      </c>
      <c r="H60" s="37"/>
      <c r="I60" s="37">
        <v>0</v>
      </c>
      <c r="J60" s="37"/>
      <c r="K60" s="37">
        <v>0</v>
      </c>
      <c r="L60" s="37"/>
      <c r="M60" s="56">
        <f>E60-G60+I60-K60</f>
        <v>0</v>
      </c>
      <c r="N60" s="27"/>
      <c r="O60" s="6"/>
    </row>
    <row r="61" spans="1:15" ht="15.6" x14ac:dyDescent="0.3">
      <c r="A61" s="26"/>
      <c r="B61" s="27"/>
      <c r="C61" s="37"/>
      <c r="D61" s="37"/>
      <c r="E61" s="56"/>
      <c r="F61" s="37"/>
      <c r="G61" s="37"/>
      <c r="H61" s="37"/>
      <c r="I61" s="37"/>
      <c r="J61" s="37"/>
      <c r="K61" s="37"/>
      <c r="L61" s="37"/>
      <c r="M61" s="56"/>
      <c r="N61" s="27"/>
      <c r="O61" s="6"/>
    </row>
    <row r="62" spans="1:15" ht="15.6" x14ac:dyDescent="0.3">
      <c r="A62" s="26"/>
      <c r="B62" s="27" t="s">
        <v>34</v>
      </c>
      <c r="C62" s="37">
        <f>SUM(C58:C61)</f>
        <v>240833</v>
      </c>
      <c r="D62" s="37"/>
      <c r="E62" s="57">
        <f>E58+E59+E60</f>
        <v>240833</v>
      </c>
      <c r="F62" s="37"/>
      <c r="G62" s="37">
        <f>SUM(G58:G61)</f>
        <v>34345</v>
      </c>
      <c r="H62" s="37"/>
      <c r="I62" s="37">
        <f>SUM(I58:I61)</f>
        <v>497</v>
      </c>
      <c r="J62" s="37"/>
      <c r="K62" s="37">
        <f>SUM(K58:K61)</f>
        <v>0</v>
      </c>
      <c r="L62" s="37"/>
      <c r="M62" s="57">
        <f>SUM(M58:M61)</f>
        <v>206985</v>
      </c>
      <c r="N62" s="27"/>
      <c r="O62" s="6"/>
    </row>
    <row r="63" spans="1:15" ht="15.6" x14ac:dyDescent="0.3">
      <c r="A63" s="26"/>
      <c r="B63" s="27"/>
      <c r="C63" s="37"/>
      <c r="D63" s="37"/>
      <c r="E63" s="37"/>
      <c r="F63" s="37"/>
      <c r="G63" s="37"/>
      <c r="H63" s="37"/>
      <c r="I63" s="37"/>
      <c r="J63" s="37"/>
      <c r="K63" s="37"/>
      <c r="L63" s="37"/>
      <c r="M63" s="57"/>
      <c r="N63" s="27"/>
      <c r="O63" s="6"/>
    </row>
    <row r="64" spans="1:15" ht="15.6" x14ac:dyDescent="0.3">
      <c r="A64" s="7"/>
      <c r="B64" s="119" t="s">
        <v>35</v>
      </c>
      <c r="C64" s="58"/>
      <c r="D64" s="58"/>
      <c r="E64" s="58"/>
      <c r="F64" s="58"/>
      <c r="G64" s="58"/>
      <c r="H64" s="58"/>
      <c r="I64" s="58"/>
      <c r="J64" s="58"/>
      <c r="K64" s="58"/>
      <c r="L64" s="58"/>
      <c r="M64" s="59"/>
      <c r="N64" s="9"/>
      <c r="O64" s="6"/>
    </row>
    <row r="65" spans="1:16" ht="15.6" x14ac:dyDescent="0.3">
      <c r="A65" s="7"/>
      <c r="B65" s="9"/>
      <c r="C65" s="58"/>
      <c r="D65" s="58"/>
      <c r="E65" s="58"/>
      <c r="F65" s="58"/>
      <c r="G65" s="58"/>
      <c r="H65" s="58"/>
      <c r="I65" s="58"/>
      <c r="J65" s="58"/>
      <c r="K65" s="58"/>
      <c r="L65" s="58"/>
      <c r="M65" s="59"/>
      <c r="N65" s="9"/>
      <c r="O65" s="6"/>
    </row>
    <row r="66" spans="1:16" ht="15.6" x14ac:dyDescent="0.3">
      <c r="A66" s="26"/>
      <c r="B66" s="27" t="s">
        <v>32</v>
      </c>
      <c r="C66" s="37"/>
      <c r="D66" s="37"/>
      <c r="E66" s="37"/>
      <c r="F66" s="37"/>
      <c r="G66" s="37"/>
      <c r="H66" s="37"/>
      <c r="I66" s="37"/>
      <c r="J66" s="37"/>
      <c r="K66" s="37"/>
      <c r="L66" s="37"/>
      <c r="M66" s="57"/>
      <c r="N66" s="27"/>
      <c r="O66" s="6"/>
    </row>
    <row r="67" spans="1:16" ht="15.6" x14ac:dyDescent="0.3">
      <c r="A67" s="26"/>
      <c r="B67" s="27" t="s">
        <v>33</v>
      </c>
      <c r="C67" s="37"/>
      <c r="D67" s="37"/>
      <c r="E67" s="37"/>
      <c r="F67" s="37"/>
      <c r="G67" s="37"/>
      <c r="H67" s="37"/>
      <c r="I67" s="37"/>
      <c r="J67" s="37"/>
      <c r="K67" s="37"/>
      <c r="L67" s="37"/>
      <c r="M67" s="57"/>
      <c r="N67" s="27"/>
      <c r="O67" s="6"/>
    </row>
    <row r="68" spans="1:16" ht="15.6" x14ac:dyDescent="0.3">
      <c r="A68" s="26"/>
      <c r="B68" s="27"/>
      <c r="C68" s="37"/>
      <c r="D68" s="37"/>
      <c r="E68" s="37"/>
      <c r="F68" s="37"/>
      <c r="G68" s="37"/>
      <c r="H68" s="37"/>
      <c r="I68" s="37"/>
      <c r="J68" s="37"/>
      <c r="K68" s="37"/>
      <c r="L68" s="37"/>
      <c r="M68" s="57"/>
      <c r="N68" s="27"/>
      <c r="O68" s="6"/>
    </row>
    <row r="69" spans="1:16" ht="15.6" x14ac:dyDescent="0.3">
      <c r="A69" s="26"/>
      <c r="B69" s="27" t="s">
        <v>34</v>
      </c>
      <c r="C69" s="37"/>
      <c r="D69" s="37"/>
      <c r="E69" s="37"/>
      <c r="F69" s="37"/>
      <c r="G69" s="37"/>
      <c r="H69" s="37"/>
      <c r="I69" s="37"/>
      <c r="J69" s="37"/>
      <c r="K69" s="37"/>
      <c r="L69" s="37"/>
      <c r="M69" s="37"/>
      <c r="N69" s="27"/>
      <c r="O69" s="6"/>
    </row>
    <row r="70" spans="1:16" ht="15.6" x14ac:dyDescent="0.3">
      <c r="A70" s="26"/>
      <c r="B70" s="27"/>
      <c r="C70" s="37"/>
      <c r="D70" s="37"/>
      <c r="E70" s="37"/>
      <c r="F70" s="37"/>
      <c r="G70" s="37"/>
      <c r="H70" s="37"/>
      <c r="I70" s="37"/>
      <c r="J70" s="37"/>
      <c r="K70" s="37"/>
      <c r="L70" s="37"/>
      <c r="M70" s="37"/>
      <c r="N70" s="27"/>
      <c r="O70" s="6"/>
    </row>
    <row r="71" spans="1:16" ht="15.6" x14ac:dyDescent="0.3">
      <c r="A71" s="26"/>
      <c r="B71" s="27" t="s">
        <v>36</v>
      </c>
      <c r="C71" s="37">
        <v>0</v>
      </c>
      <c r="D71" s="37"/>
      <c r="E71" s="37">
        <v>0</v>
      </c>
      <c r="F71" s="37"/>
      <c r="G71" s="37"/>
      <c r="H71" s="37"/>
      <c r="I71" s="37"/>
      <c r="J71" s="37"/>
      <c r="K71" s="37"/>
      <c r="L71" s="37"/>
      <c r="M71" s="57">
        <v>0</v>
      </c>
      <c r="N71" s="27"/>
      <c r="O71" s="6"/>
    </row>
    <row r="72" spans="1:16" ht="15.6" x14ac:dyDescent="0.3">
      <c r="A72" s="26"/>
      <c r="B72" s="27" t="s">
        <v>147</v>
      </c>
      <c r="C72" s="37">
        <f>59167</f>
        <v>59167</v>
      </c>
      <c r="D72" s="37"/>
      <c r="E72" s="37">
        <v>59167</v>
      </c>
      <c r="F72" s="37"/>
      <c r="G72" s="37"/>
      <c r="H72" s="37"/>
      <c r="I72" s="37"/>
      <c r="J72" s="37"/>
      <c r="K72" s="37"/>
      <c r="L72" s="37"/>
      <c r="M72" s="57">
        <f>+E72</f>
        <v>59167</v>
      </c>
      <c r="N72" s="27"/>
      <c r="O72" s="6"/>
      <c r="P72" s="117"/>
    </row>
    <row r="73" spans="1:16" ht="15.6" x14ac:dyDescent="0.3">
      <c r="A73" s="26"/>
      <c r="B73" s="27" t="s">
        <v>171</v>
      </c>
      <c r="C73" s="37">
        <v>0</v>
      </c>
      <c r="D73" s="37"/>
      <c r="E73" s="37">
        <v>0</v>
      </c>
      <c r="F73" s="37"/>
      <c r="G73" s="37"/>
      <c r="H73" s="37"/>
      <c r="I73" s="37"/>
      <c r="J73" s="37"/>
      <c r="K73" s="37"/>
      <c r="L73" s="37"/>
      <c r="M73" s="57">
        <f>K109-M72</f>
        <v>33848</v>
      </c>
      <c r="N73" s="27"/>
      <c r="O73" s="6"/>
      <c r="P73" s="117"/>
    </row>
    <row r="74" spans="1:16" ht="15.6" x14ac:dyDescent="0.3">
      <c r="A74" s="26"/>
      <c r="B74" s="27" t="s">
        <v>38</v>
      </c>
      <c r="C74" s="37">
        <v>0</v>
      </c>
      <c r="D74" s="37"/>
      <c r="E74" s="37">
        <v>0</v>
      </c>
      <c r="F74" s="37"/>
      <c r="G74" s="37"/>
      <c r="H74" s="37"/>
      <c r="I74" s="37"/>
      <c r="J74" s="37"/>
      <c r="K74" s="37"/>
      <c r="L74" s="37"/>
      <c r="M74" s="57">
        <v>0</v>
      </c>
      <c r="N74" s="27"/>
      <c r="O74" s="6"/>
      <c r="P74" s="117"/>
    </row>
    <row r="75" spans="1:16" ht="15.6" x14ac:dyDescent="0.3">
      <c r="A75" s="26"/>
      <c r="B75" s="27" t="s">
        <v>39</v>
      </c>
      <c r="C75" s="57">
        <f>SUM(C62:C74)</f>
        <v>300000</v>
      </c>
      <c r="D75" s="57"/>
      <c r="E75" s="57">
        <f>SUM(E62:E74)</f>
        <v>300000</v>
      </c>
      <c r="F75" s="37"/>
      <c r="G75" s="57"/>
      <c r="H75" s="37"/>
      <c r="I75" s="57"/>
      <c r="J75" s="37"/>
      <c r="K75" s="57"/>
      <c r="L75" s="37"/>
      <c r="M75" s="57">
        <f>SUM(M62:M74)</f>
        <v>300000</v>
      </c>
      <c r="N75" s="27"/>
      <c r="O75" s="6"/>
    </row>
    <row r="76" spans="1:16" ht="15.6" x14ac:dyDescent="0.3">
      <c r="A76" s="26"/>
      <c r="B76" s="27"/>
      <c r="C76" s="37"/>
      <c r="D76" s="37"/>
      <c r="E76" s="37"/>
      <c r="F76" s="37"/>
      <c r="G76" s="37"/>
      <c r="H76" s="37"/>
      <c r="I76" s="37"/>
      <c r="J76" s="37"/>
      <c r="K76" s="37"/>
      <c r="L76" s="37"/>
      <c r="M76" s="57"/>
      <c r="N76" s="27"/>
      <c r="O76" s="6"/>
    </row>
    <row r="77" spans="1:16" ht="15.6" x14ac:dyDescent="0.3">
      <c r="A77" s="7"/>
      <c r="B77" s="9"/>
      <c r="C77" s="9"/>
      <c r="D77" s="9"/>
      <c r="E77" s="9"/>
      <c r="F77" s="9"/>
      <c r="G77" s="9"/>
      <c r="H77" s="9"/>
      <c r="I77" s="9"/>
      <c r="J77" s="9"/>
      <c r="K77" s="9"/>
      <c r="L77" s="9"/>
      <c r="M77" s="9"/>
      <c r="N77" s="9"/>
      <c r="O77" s="6"/>
    </row>
    <row r="78" spans="1:16" ht="15.6" x14ac:dyDescent="0.3">
      <c r="A78" s="7"/>
      <c r="B78" s="54" t="s">
        <v>40</v>
      </c>
      <c r="C78" s="16"/>
      <c r="D78" s="16"/>
      <c r="E78" s="16"/>
      <c r="F78" s="16"/>
      <c r="G78" s="16"/>
      <c r="H78" s="16"/>
      <c r="I78" s="16"/>
      <c r="J78" s="19"/>
      <c r="K78" s="19" t="s">
        <v>133</v>
      </c>
      <c r="L78" s="19"/>
      <c r="M78" s="19" t="s">
        <v>143</v>
      </c>
      <c r="N78" s="9"/>
      <c r="O78" s="6"/>
    </row>
    <row r="79" spans="1:16" ht="15.6" x14ac:dyDescent="0.3">
      <c r="A79" s="26"/>
      <c r="B79" s="27" t="s">
        <v>41</v>
      </c>
      <c r="C79" s="27"/>
      <c r="D79" s="27"/>
      <c r="E79" s="27"/>
      <c r="F79" s="27"/>
      <c r="G79" s="27"/>
      <c r="H79" s="27"/>
      <c r="I79" s="27"/>
      <c r="J79" s="27"/>
      <c r="K79" s="37">
        <v>59167</v>
      </c>
      <c r="L79" s="27"/>
      <c r="M79" s="56">
        <v>0</v>
      </c>
      <c r="N79" s="27"/>
      <c r="O79" s="6"/>
    </row>
    <row r="80" spans="1:16" ht="15.6" x14ac:dyDescent="0.3">
      <c r="A80" s="26"/>
      <c r="B80" s="27" t="s">
        <v>42</v>
      </c>
      <c r="C80" s="43" t="s">
        <v>120</v>
      </c>
      <c r="D80" s="60">
        <v>38471</v>
      </c>
      <c r="E80" s="61"/>
      <c r="F80" s="27"/>
      <c r="G80" s="27"/>
      <c r="H80" s="27"/>
      <c r="I80" s="27"/>
      <c r="J80" s="27"/>
      <c r="K80" s="37">
        <f>34065-561</f>
        <v>33504</v>
      </c>
      <c r="L80" s="27"/>
      <c r="M80" s="56"/>
      <c r="N80" s="27"/>
      <c r="O80" s="6"/>
    </row>
    <row r="81" spans="1:16" ht="15.6" x14ac:dyDescent="0.3">
      <c r="A81" s="26"/>
      <c r="B81" s="27" t="s">
        <v>43</v>
      </c>
      <c r="C81" s="27"/>
      <c r="D81" s="27"/>
      <c r="E81" s="27"/>
      <c r="F81" s="27"/>
      <c r="G81" s="27"/>
      <c r="H81" s="27"/>
      <c r="I81" s="27"/>
      <c r="J81" s="27"/>
      <c r="K81" s="37"/>
      <c r="L81" s="27"/>
      <c r="M81" s="56">
        <f>10764+280</f>
        <v>11044</v>
      </c>
      <c r="N81" s="27"/>
      <c r="O81" s="6"/>
    </row>
    <row r="82" spans="1:16" ht="15.6" x14ac:dyDescent="0.3">
      <c r="A82" s="26"/>
      <c r="B82" s="27" t="s">
        <v>44</v>
      </c>
      <c r="C82" s="27"/>
      <c r="D82" s="27"/>
      <c r="E82" s="27"/>
      <c r="F82" s="27"/>
      <c r="G82" s="27"/>
      <c r="H82" s="27"/>
      <c r="I82" s="27"/>
      <c r="J82" s="27"/>
      <c r="K82" s="37"/>
      <c r="L82" s="27"/>
      <c r="M82" s="56"/>
      <c r="N82" s="27"/>
      <c r="O82" s="6"/>
    </row>
    <row r="83" spans="1:16" ht="15.6" x14ac:dyDescent="0.3">
      <c r="A83" s="26"/>
      <c r="B83" s="27" t="s">
        <v>45</v>
      </c>
      <c r="C83" s="27"/>
      <c r="D83" s="27"/>
      <c r="E83" s="27"/>
      <c r="F83" s="27"/>
      <c r="G83" s="27"/>
      <c r="H83" s="27"/>
      <c r="I83" s="27"/>
      <c r="J83" s="27"/>
      <c r="K83" s="37">
        <f>SUM(K79:K82)</f>
        <v>92671</v>
      </c>
      <c r="L83" s="27"/>
      <c r="M83" s="57">
        <f>SUM(M79:M82)</f>
        <v>11044</v>
      </c>
      <c r="N83" s="27"/>
      <c r="O83" s="6"/>
    </row>
    <row r="84" spans="1:16" ht="15.6" x14ac:dyDescent="0.3">
      <c r="A84" s="26"/>
      <c r="B84" s="27" t="s">
        <v>46</v>
      </c>
      <c r="C84" s="27"/>
      <c r="D84" s="27"/>
      <c r="E84" s="27"/>
      <c r="F84" s="27"/>
      <c r="G84" s="27"/>
      <c r="H84" s="27"/>
      <c r="I84" s="27"/>
      <c r="J84" s="27"/>
      <c r="K84" s="37">
        <f>-M84</f>
        <v>280</v>
      </c>
      <c r="L84" s="27"/>
      <c r="M84" s="56">
        <v>-280</v>
      </c>
      <c r="N84" s="27"/>
      <c r="O84" s="6"/>
    </row>
    <row r="85" spans="1:16" ht="15.6" x14ac:dyDescent="0.3">
      <c r="A85" s="26"/>
      <c r="B85" s="27" t="s">
        <v>47</v>
      </c>
      <c r="C85" s="27"/>
      <c r="D85" s="27"/>
      <c r="E85" s="27"/>
      <c r="F85" s="27"/>
      <c r="G85" s="27"/>
      <c r="H85" s="27"/>
      <c r="I85" s="27"/>
      <c r="J85" s="27"/>
      <c r="K85" s="37">
        <f>K83+K84</f>
        <v>92951</v>
      </c>
      <c r="L85" s="27"/>
      <c r="M85" s="57">
        <f>M83+M84</f>
        <v>10764</v>
      </c>
      <c r="N85" s="27"/>
      <c r="O85" s="6"/>
      <c r="P85" s="117"/>
    </row>
    <row r="86" spans="1:16" ht="15.6" x14ac:dyDescent="0.3">
      <c r="A86" s="26"/>
      <c r="B86" s="126" t="s">
        <v>48</v>
      </c>
      <c r="C86" s="62"/>
      <c r="D86" s="62"/>
      <c r="E86" s="27"/>
      <c r="F86" s="27"/>
      <c r="G86" s="27"/>
      <c r="H86" s="27"/>
      <c r="I86" s="27"/>
      <c r="J86" s="27"/>
      <c r="K86" s="37"/>
      <c r="L86" s="27"/>
      <c r="M86" s="56"/>
      <c r="N86" s="27"/>
      <c r="O86" s="6"/>
      <c r="P86" s="156"/>
    </row>
    <row r="87" spans="1:16" ht="15.6" x14ac:dyDescent="0.3">
      <c r="A87" s="26">
        <v>1</v>
      </c>
      <c r="B87" s="27" t="s">
        <v>49</v>
      </c>
      <c r="C87" s="27"/>
      <c r="D87" s="27"/>
      <c r="E87" s="27"/>
      <c r="F87" s="27"/>
      <c r="G87" s="27"/>
      <c r="H87" s="27"/>
      <c r="I87" s="27"/>
      <c r="J87" s="27"/>
      <c r="K87" s="27"/>
      <c r="L87" s="27"/>
      <c r="M87" s="56">
        <v>-1112</v>
      </c>
      <c r="N87" s="27"/>
      <c r="O87" s="6"/>
    </row>
    <row r="88" spans="1:16" ht="15.6" x14ac:dyDescent="0.3">
      <c r="A88" s="26">
        <v>2</v>
      </c>
      <c r="B88" s="27" t="s">
        <v>50</v>
      </c>
      <c r="C88" s="27"/>
      <c r="D88" s="27"/>
      <c r="E88" s="27"/>
      <c r="F88" s="27"/>
      <c r="G88" s="27"/>
      <c r="H88" s="27"/>
      <c r="I88" s="27"/>
      <c r="J88" s="27"/>
      <c r="K88" s="27"/>
      <c r="L88" s="27"/>
      <c r="M88" s="56">
        <v>-2</v>
      </c>
      <c r="N88" s="27"/>
      <c r="O88" s="6"/>
    </row>
    <row r="89" spans="1:16" ht="15.6" x14ac:dyDescent="0.3">
      <c r="A89" s="26">
        <v>3</v>
      </c>
      <c r="B89" s="27" t="s">
        <v>194</v>
      </c>
      <c r="C89" s="27"/>
      <c r="D89" s="27"/>
      <c r="E89" s="27"/>
      <c r="F89" s="27"/>
      <c r="G89" s="27"/>
      <c r="H89" s="27"/>
      <c r="I89" s="27"/>
      <c r="J89" s="27"/>
      <c r="K89" s="27"/>
      <c r="L89" s="27"/>
      <c r="M89" s="56">
        <f>-136-46-9</f>
        <v>-191</v>
      </c>
      <c r="N89" s="27"/>
      <c r="O89" s="6"/>
    </row>
    <row r="90" spans="1:16" ht="15.6" x14ac:dyDescent="0.3">
      <c r="A90" s="140" t="s">
        <v>184</v>
      </c>
      <c r="B90" s="27" t="s">
        <v>146</v>
      </c>
      <c r="C90" s="27"/>
      <c r="D90" s="27"/>
      <c r="E90" s="27"/>
      <c r="F90" s="27"/>
      <c r="G90" s="27"/>
      <c r="H90" s="27"/>
      <c r="I90" s="27"/>
      <c r="J90" s="27"/>
      <c r="K90" s="27"/>
      <c r="L90" s="27"/>
      <c r="M90" s="56">
        <v>0</v>
      </c>
      <c r="N90" s="27"/>
      <c r="O90" s="6"/>
    </row>
    <row r="91" spans="1:16" ht="15.6" x14ac:dyDescent="0.3">
      <c r="A91" s="140" t="s">
        <v>192</v>
      </c>
      <c r="B91" s="27" t="s">
        <v>51</v>
      </c>
      <c r="C91" s="27"/>
      <c r="D91" s="27"/>
      <c r="E91" s="27"/>
      <c r="F91" s="27"/>
      <c r="G91" s="27"/>
      <c r="H91" s="27"/>
      <c r="I91" s="27"/>
      <c r="J91" s="27"/>
      <c r="K91" s="27"/>
      <c r="L91" s="27"/>
      <c r="M91" s="56">
        <v>-4890</v>
      </c>
      <c r="N91" s="27"/>
      <c r="O91" s="6"/>
    </row>
    <row r="92" spans="1:16" ht="15.6" x14ac:dyDescent="0.3">
      <c r="A92" s="26">
        <v>5</v>
      </c>
      <c r="B92" s="27" t="s">
        <v>52</v>
      </c>
      <c r="C92" s="27"/>
      <c r="D92" s="27"/>
      <c r="E92" s="27"/>
      <c r="F92" s="27"/>
      <c r="G92" s="27"/>
      <c r="H92" s="27"/>
      <c r="I92" s="27"/>
      <c r="J92" s="27"/>
      <c r="K92" s="27"/>
      <c r="L92" s="27"/>
      <c r="M92" s="56">
        <v>-985</v>
      </c>
      <c r="N92" s="27"/>
      <c r="O92" s="6"/>
    </row>
    <row r="93" spans="1:16" ht="15.6" x14ac:dyDescent="0.3">
      <c r="A93" s="26">
        <v>6</v>
      </c>
      <c r="B93" s="27" t="s">
        <v>172</v>
      </c>
      <c r="C93" s="27"/>
      <c r="D93" s="27"/>
      <c r="E93" s="27"/>
      <c r="F93" s="27"/>
      <c r="G93" s="27"/>
      <c r="H93" s="27"/>
      <c r="I93" s="27"/>
      <c r="J93" s="27"/>
      <c r="K93" s="27"/>
      <c r="L93" s="27"/>
      <c r="M93" s="56">
        <v>-662</v>
      </c>
      <c r="N93" s="27"/>
      <c r="O93" s="6"/>
    </row>
    <row r="94" spans="1:16" ht="15.6" x14ac:dyDescent="0.3">
      <c r="A94" s="26">
        <v>7</v>
      </c>
      <c r="B94" s="27" t="s">
        <v>53</v>
      </c>
      <c r="C94" s="27"/>
      <c r="D94" s="27"/>
      <c r="E94" s="27"/>
      <c r="F94" s="27"/>
      <c r="G94" s="27"/>
      <c r="H94" s="27"/>
      <c r="I94" s="27"/>
      <c r="J94" s="27"/>
      <c r="K94" s="27"/>
      <c r="L94" s="27"/>
      <c r="M94" s="56">
        <v>-5</v>
      </c>
      <c r="N94" s="27"/>
      <c r="O94" s="6"/>
    </row>
    <row r="95" spans="1:16" ht="15.6" x14ac:dyDescent="0.3">
      <c r="A95" s="26">
        <v>8</v>
      </c>
      <c r="B95" s="27" t="s">
        <v>69</v>
      </c>
      <c r="C95" s="27"/>
      <c r="D95" s="27"/>
      <c r="E95" s="27"/>
      <c r="F95" s="27"/>
      <c r="G95" s="27"/>
      <c r="H95" s="27"/>
      <c r="I95" s="27"/>
      <c r="J95" s="27"/>
      <c r="K95" s="37">
        <f>-M95</f>
        <v>561</v>
      </c>
      <c r="L95" s="27"/>
      <c r="M95" s="56">
        <v>-561</v>
      </c>
      <c r="N95" s="27"/>
      <c r="O95" s="6"/>
    </row>
    <row r="96" spans="1:16" ht="15.6" x14ac:dyDescent="0.3">
      <c r="A96" s="26">
        <v>9</v>
      </c>
      <c r="B96" s="27" t="s">
        <v>193</v>
      </c>
      <c r="C96" s="27"/>
      <c r="D96" s="27"/>
      <c r="E96" s="27"/>
      <c r="F96" s="27"/>
      <c r="G96" s="27"/>
      <c r="H96" s="27"/>
      <c r="I96" s="27"/>
      <c r="J96" s="27"/>
      <c r="K96" s="27"/>
      <c r="L96" s="27"/>
      <c r="M96" s="56">
        <v>0</v>
      </c>
      <c r="N96" s="27"/>
      <c r="O96" s="6"/>
    </row>
    <row r="97" spans="1:15" ht="15.6" x14ac:dyDescent="0.3">
      <c r="A97" s="26">
        <v>10</v>
      </c>
      <c r="B97" s="27" t="s">
        <v>54</v>
      </c>
      <c r="C97" s="27"/>
      <c r="D97" s="27"/>
      <c r="E97" s="27"/>
      <c r="F97" s="27"/>
      <c r="G97" s="27"/>
      <c r="H97" s="27"/>
      <c r="I97" s="27"/>
      <c r="J97" s="27"/>
      <c r="K97" s="27"/>
      <c r="L97" s="27"/>
      <c r="M97" s="56">
        <v>0</v>
      </c>
      <c r="N97" s="27"/>
      <c r="O97" s="6"/>
    </row>
    <row r="98" spans="1:15" ht="15.6" x14ac:dyDescent="0.3">
      <c r="A98" s="26">
        <v>11</v>
      </c>
      <c r="B98" s="27" t="s">
        <v>55</v>
      </c>
      <c r="C98" s="27"/>
      <c r="D98" s="27"/>
      <c r="E98" s="27"/>
      <c r="F98" s="27"/>
      <c r="G98" s="27"/>
      <c r="H98" s="27"/>
      <c r="I98" s="27"/>
      <c r="J98" s="27"/>
      <c r="K98" s="27"/>
      <c r="L98" s="27"/>
      <c r="M98" s="56">
        <v>0</v>
      </c>
      <c r="N98" s="27"/>
      <c r="O98" s="6"/>
    </row>
    <row r="99" spans="1:15" ht="15.6" x14ac:dyDescent="0.3">
      <c r="A99" s="26">
        <v>12</v>
      </c>
      <c r="B99" s="27" t="s">
        <v>173</v>
      </c>
      <c r="C99" s="27"/>
      <c r="D99" s="27"/>
      <c r="E99" s="27"/>
      <c r="F99" s="27"/>
      <c r="G99" s="27"/>
      <c r="H99" s="27"/>
      <c r="I99" s="27"/>
      <c r="J99" s="27"/>
      <c r="K99" s="27"/>
      <c r="L99" s="27"/>
      <c r="M99" s="56">
        <v>-136</v>
      </c>
      <c r="N99" s="27"/>
      <c r="O99" s="6"/>
    </row>
    <row r="100" spans="1:15" ht="15.6" x14ac:dyDescent="0.3">
      <c r="A100" s="26">
        <v>13</v>
      </c>
      <c r="B100" s="27" t="s">
        <v>195</v>
      </c>
      <c r="C100" s="27"/>
      <c r="D100" s="27"/>
      <c r="E100" s="27"/>
      <c r="F100" s="27"/>
      <c r="G100" s="27"/>
      <c r="H100" s="27"/>
      <c r="I100" s="27"/>
      <c r="J100" s="27"/>
      <c r="K100" s="27"/>
      <c r="L100" s="27"/>
      <c r="M100" s="56">
        <f>-M85-SUM(M87:M99)</f>
        <v>-2220</v>
      </c>
      <c r="N100" s="27"/>
      <c r="O100" s="6"/>
    </row>
    <row r="101" spans="1:15" ht="15.6" x14ac:dyDescent="0.3">
      <c r="A101" s="26"/>
      <c r="B101" s="126" t="s">
        <v>56</v>
      </c>
      <c r="C101" s="62"/>
      <c r="D101" s="62"/>
      <c r="E101" s="27"/>
      <c r="F101" s="27"/>
      <c r="G101" s="27"/>
      <c r="H101" s="27"/>
      <c r="I101" s="27"/>
      <c r="J101" s="27"/>
      <c r="K101" s="27"/>
      <c r="L101" s="27"/>
      <c r="M101" s="63"/>
      <c r="N101" s="27"/>
      <c r="O101" s="6"/>
    </row>
    <row r="102" spans="1:15" ht="15.6" x14ac:dyDescent="0.3">
      <c r="A102" s="26"/>
      <c r="B102" s="27" t="s">
        <v>57</v>
      </c>
      <c r="C102" s="62"/>
      <c r="D102" s="62"/>
      <c r="E102" s="27"/>
      <c r="F102" s="27"/>
      <c r="G102" s="27"/>
      <c r="H102" s="27"/>
      <c r="I102" s="27"/>
      <c r="J102" s="27"/>
      <c r="K102" s="37">
        <f>-K151</f>
        <v>0</v>
      </c>
      <c r="L102" s="37"/>
      <c r="M102" s="56"/>
      <c r="N102" s="27"/>
      <c r="O102" s="6"/>
    </row>
    <row r="103" spans="1:15" ht="15.6" x14ac:dyDescent="0.3">
      <c r="A103" s="26"/>
      <c r="B103" s="27" t="s">
        <v>58</v>
      </c>
      <c r="C103" s="27"/>
      <c r="D103" s="27"/>
      <c r="E103" s="27"/>
      <c r="F103" s="27"/>
      <c r="G103" s="27"/>
      <c r="H103" s="27"/>
      <c r="I103" s="27"/>
      <c r="J103" s="27"/>
      <c r="K103" s="37">
        <f>-I151</f>
        <v>-497</v>
      </c>
      <c r="L103" s="37"/>
      <c r="M103" s="56"/>
      <c r="N103" s="27"/>
      <c r="O103" s="6"/>
    </row>
    <row r="104" spans="1:15" ht="15.6" x14ac:dyDescent="0.3">
      <c r="A104" s="26"/>
      <c r="B104" s="27" t="s">
        <v>187</v>
      </c>
      <c r="C104" s="27"/>
      <c r="D104" s="27"/>
      <c r="E104" s="27"/>
      <c r="F104" s="27"/>
      <c r="G104" s="27"/>
      <c r="H104" s="27"/>
      <c r="I104" s="27"/>
      <c r="J104" s="27"/>
      <c r="K104" s="37">
        <v>0</v>
      </c>
      <c r="L104" s="37"/>
      <c r="M104" s="56"/>
      <c r="N104" s="27"/>
      <c r="O104" s="6"/>
    </row>
    <row r="105" spans="1:15" ht="15.6" x14ac:dyDescent="0.3">
      <c r="A105" s="26"/>
      <c r="B105" s="27" t="s">
        <v>185</v>
      </c>
      <c r="C105" s="27"/>
      <c r="D105" s="27"/>
      <c r="E105" s="27"/>
      <c r="F105" s="27"/>
      <c r="G105" s="27"/>
      <c r="H105" s="27"/>
      <c r="I105" s="27"/>
      <c r="J105" s="27"/>
      <c r="K105" s="37">
        <v>0</v>
      </c>
      <c r="L105" s="37"/>
      <c r="M105" s="56"/>
      <c r="N105" s="27"/>
      <c r="O105" s="6"/>
    </row>
    <row r="106" spans="1:15" ht="15.6" x14ac:dyDescent="0.3">
      <c r="A106" s="26"/>
      <c r="B106" s="27" t="s">
        <v>59</v>
      </c>
      <c r="C106" s="27"/>
      <c r="D106" s="27"/>
      <c r="E106" s="27"/>
      <c r="F106" s="27"/>
      <c r="G106" s="27"/>
      <c r="H106" s="27"/>
      <c r="I106" s="27"/>
      <c r="J106" s="27"/>
      <c r="K106" s="37">
        <v>0</v>
      </c>
      <c r="L106" s="37"/>
      <c r="M106" s="56"/>
      <c r="N106" s="27"/>
      <c r="O106" s="6"/>
    </row>
    <row r="107" spans="1:15" ht="15.6" x14ac:dyDescent="0.3">
      <c r="A107" s="26"/>
      <c r="B107" s="27" t="s">
        <v>186</v>
      </c>
      <c r="C107" s="27"/>
      <c r="D107" s="27"/>
      <c r="E107" s="27"/>
      <c r="F107" s="27"/>
      <c r="G107" s="27"/>
      <c r="H107" s="27"/>
      <c r="I107" s="27"/>
      <c r="J107" s="27"/>
      <c r="K107" s="37">
        <v>0</v>
      </c>
      <c r="L107" s="37"/>
      <c r="M107" s="56"/>
      <c r="N107" s="27"/>
      <c r="O107" s="6"/>
    </row>
    <row r="108" spans="1:15" ht="15.6" x14ac:dyDescent="0.3">
      <c r="A108" s="26"/>
      <c r="B108" s="27" t="s">
        <v>60</v>
      </c>
      <c r="C108" s="27"/>
      <c r="D108" s="27"/>
      <c r="E108" s="27"/>
      <c r="F108" s="27"/>
      <c r="G108" s="27"/>
      <c r="H108" s="27"/>
      <c r="I108" s="27"/>
      <c r="J108" s="27"/>
      <c r="K108" s="37">
        <f>+K103+K104</f>
        <v>-497</v>
      </c>
      <c r="L108" s="37"/>
      <c r="M108" s="37">
        <f>SUM(M86:M107)</f>
        <v>-10764</v>
      </c>
      <c r="N108" s="27"/>
      <c r="O108" s="6"/>
    </row>
    <row r="109" spans="1:15" ht="15.6" x14ac:dyDescent="0.3">
      <c r="A109" s="26"/>
      <c r="B109" s="27" t="s">
        <v>61</v>
      </c>
      <c r="C109" s="27"/>
      <c r="D109" s="27"/>
      <c r="E109" s="27"/>
      <c r="F109" s="27"/>
      <c r="G109" s="27"/>
      <c r="H109" s="27"/>
      <c r="I109" s="27"/>
      <c r="J109" s="27"/>
      <c r="K109" s="37">
        <f>K85+K108+K95</f>
        <v>93015</v>
      </c>
      <c r="L109" s="37"/>
      <c r="M109" s="37">
        <f>M85+M108</f>
        <v>0</v>
      </c>
      <c r="N109" s="27"/>
      <c r="O109" s="6"/>
    </row>
    <row r="110" spans="1:15" ht="15.6" x14ac:dyDescent="0.3">
      <c r="A110" s="26"/>
      <c r="B110" s="27"/>
      <c r="C110" s="27"/>
      <c r="D110" s="27"/>
      <c r="E110" s="27"/>
      <c r="F110" s="27"/>
      <c r="G110" s="27"/>
      <c r="H110" s="27"/>
      <c r="I110" s="27"/>
      <c r="J110" s="27"/>
      <c r="K110" s="37"/>
      <c r="L110" s="37"/>
      <c r="M110" s="37"/>
      <c r="N110" s="27"/>
      <c r="O110" s="6"/>
    </row>
    <row r="111" spans="1:15" ht="15.6" x14ac:dyDescent="0.3">
      <c r="A111" s="7"/>
      <c r="B111" s="9"/>
      <c r="C111" s="9"/>
      <c r="D111" s="9"/>
      <c r="E111" s="9"/>
      <c r="F111" s="9"/>
      <c r="G111" s="9"/>
      <c r="H111" s="9"/>
      <c r="I111" s="9"/>
      <c r="J111" s="9"/>
      <c r="K111" s="9"/>
      <c r="L111" s="9"/>
      <c r="M111" s="55"/>
      <c r="N111" s="9"/>
      <c r="O111" s="6"/>
    </row>
    <row r="112" spans="1:15" ht="18" thickBot="1" x14ac:dyDescent="0.35">
      <c r="A112" s="109"/>
      <c r="B112" s="110" t="str">
        <f>B53</f>
        <v>PSF1 INVESTOR REPORT QUARTER ENDING APRIL 2005</v>
      </c>
      <c r="C112" s="111"/>
      <c r="D112" s="111"/>
      <c r="E112" s="111"/>
      <c r="F112" s="111"/>
      <c r="G112" s="111"/>
      <c r="H112" s="111"/>
      <c r="I112" s="111"/>
      <c r="J112" s="111"/>
      <c r="K112" s="111"/>
      <c r="L112" s="111"/>
      <c r="M112" s="114"/>
      <c r="N112" s="113"/>
      <c r="O112" s="6"/>
    </row>
    <row r="113" spans="1:15" ht="15.6" x14ac:dyDescent="0.3">
      <c r="A113" s="2"/>
      <c r="B113" s="64" t="s">
        <v>62</v>
      </c>
      <c r="C113" s="65"/>
      <c r="D113" s="65"/>
      <c r="E113" s="5"/>
      <c r="F113" s="5"/>
      <c r="G113" s="5"/>
      <c r="H113" s="5"/>
      <c r="I113" s="5"/>
      <c r="J113" s="5"/>
      <c r="K113" s="5"/>
      <c r="L113" s="5"/>
      <c r="M113" s="53"/>
      <c r="N113" s="5"/>
      <c r="O113" s="6"/>
    </row>
    <row r="114" spans="1:15" ht="15.6" x14ac:dyDescent="0.3">
      <c r="A114" s="7"/>
      <c r="B114" s="23"/>
      <c r="C114" s="15"/>
      <c r="D114" s="15"/>
      <c r="E114" s="9"/>
      <c r="F114" s="9"/>
      <c r="G114" s="9"/>
      <c r="H114" s="9"/>
      <c r="I114" s="9"/>
      <c r="J114" s="9"/>
      <c r="K114" s="9"/>
      <c r="L114" s="9"/>
      <c r="M114" s="55"/>
      <c r="N114" s="9"/>
      <c r="O114" s="6"/>
    </row>
    <row r="115" spans="1:15" ht="15.6" x14ac:dyDescent="0.3">
      <c r="A115" s="7"/>
      <c r="B115" s="127" t="s">
        <v>63</v>
      </c>
      <c r="C115" s="15"/>
      <c r="D115" s="15"/>
      <c r="E115" s="9"/>
      <c r="F115" s="9"/>
      <c r="G115" s="9"/>
      <c r="H115" s="9"/>
      <c r="I115" s="9"/>
      <c r="J115" s="9"/>
      <c r="K115" s="9"/>
      <c r="L115" s="9"/>
      <c r="M115" s="55"/>
      <c r="N115" s="9"/>
      <c r="O115" s="6"/>
    </row>
    <row r="116" spans="1:15" ht="15.6" x14ac:dyDescent="0.3">
      <c r="A116" s="26"/>
      <c r="B116" s="27" t="s">
        <v>64</v>
      </c>
      <c r="C116" s="27"/>
      <c r="D116" s="27"/>
      <c r="E116" s="27"/>
      <c r="F116" s="27"/>
      <c r="G116" s="27"/>
      <c r="H116" s="27"/>
      <c r="I116" s="27"/>
      <c r="J116" s="27"/>
      <c r="K116" s="27"/>
      <c r="L116" s="27"/>
      <c r="M116" s="56">
        <f>+M29*0.045</f>
        <v>13500</v>
      </c>
      <c r="N116" s="27"/>
      <c r="O116" s="6"/>
    </row>
    <row r="117" spans="1:15" ht="15.6" x14ac:dyDescent="0.3">
      <c r="A117" s="26"/>
      <c r="B117" s="27" t="s">
        <v>65</v>
      </c>
      <c r="C117" s="27"/>
      <c r="D117" s="27"/>
      <c r="E117" s="27"/>
      <c r="F117" s="27"/>
      <c r="G117" s="27"/>
      <c r="H117" s="27"/>
      <c r="I117" s="27"/>
      <c r="J117" s="27"/>
      <c r="K117" s="27"/>
      <c r="L117" s="27"/>
      <c r="M117" s="56">
        <v>0</v>
      </c>
      <c r="N117" s="27"/>
      <c r="O117" s="6"/>
    </row>
    <row r="118" spans="1:15" ht="15.6" x14ac:dyDescent="0.3">
      <c r="A118" s="26"/>
      <c r="B118" s="27" t="s">
        <v>66</v>
      </c>
      <c r="C118" s="27"/>
      <c r="D118" s="27"/>
      <c r="E118" s="27"/>
      <c r="F118" s="27"/>
      <c r="G118" s="27"/>
      <c r="H118" s="27"/>
      <c r="I118" s="27"/>
      <c r="J118" s="27"/>
      <c r="K118" s="27"/>
      <c r="L118" s="27"/>
      <c r="M118" s="56">
        <v>0</v>
      </c>
      <c r="N118" s="27"/>
      <c r="O118" s="6"/>
    </row>
    <row r="119" spans="1:15" ht="15.6" x14ac:dyDescent="0.3">
      <c r="A119" s="26"/>
      <c r="B119" s="27" t="s">
        <v>67</v>
      </c>
      <c r="C119" s="27"/>
      <c r="D119" s="27"/>
      <c r="E119" s="27"/>
      <c r="F119" s="27"/>
      <c r="G119" s="27"/>
      <c r="H119" s="27"/>
      <c r="I119" s="27"/>
      <c r="J119" s="27"/>
      <c r="K119" s="27"/>
      <c r="L119" s="27"/>
      <c r="M119" s="56">
        <v>0</v>
      </c>
      <c r="N119" s="27"/>
      <c r="O119" s="6"/>
    </row>
    <row r="120" spans="1:15" ht="15.6" x14ac:dyDescent="0.3">
      <c r="A120" s="26"/>
      <c r="B120" s="27" t="s">
        <v>68</v>
      </c>
      <c r="C120" s="27"/>
      <c r="D120" s="27"/>
      <c r="E120" s="27"/>
      <c r="F120" s="27"/>
      <c r="G120" s="27"/>
      <c r="H120" s="27"/>
      <c r="I120" s="27"/>
      <c r="J120" s="27"/>
      <c r="K120" s="27"/>
      <c r="L120" s="27"/>
      <c r="M120" s="56">
        <v>0</v>
      </c>
      <c r="N120" s="27"/>
      <c r="O120" s="6"/>
    </row>
    <row r="121" spans="1:15" ht="15.6" x14ac:dyDescent="0.3">
      <c r="A121" s="26"/>
      <c r="B121" s="27" t="s">
        <v>51</v>
      </c>
      <c r="C121" s="27"/>
      <c r="D121" s="27"/>
      <c r="E121" s="27"/>
      <c r="F121" s="27"/>
      <c r="G121" s="27"/>
      <c r="H121" s="27"/>
      <c r="I121" s="27"/>
      <c r="J121" s="27"/>
      <c r="K121" s="27"/>
      <c r="L121" s="27"/>
      <c r="M121" s="56">
        <v>0</v>
      </c>
      <c r="N121" s="27"/>
      <c r="O121" s="6"/>
    </row>
    <row r="122" spans="1:15" ht="15.6" x14ac:dyDescent="0.3">
      <c r="A122" s="26"/>
      <c r="B122" s="27" t="s">
        <v>52</v>
      </c>
      <c r="C122" s="27"/>
      <c r="D122" s="27"/>
      <c r="E122" s="27"/>
      <c r="F122" s="27"/>
      <c r="G122" s="27"/>
      <c r="H122" s="27"/>
      <c r="I122" s="27"/>
      <c r="J122" s="27"/>
      <c r="K122" s="27"/>
      <c r="L122" s="27"/>
      <c r="M122" s="56">
        <v>0</v>
      </c>
      <c r="N122" s="27"/>
      <c r="O122" s="6"/>
    </row>
    <row r="123" spans="1:15" ht="15.6" x14ac:dyDescent="0.3">
      <c r="A123" s="26"/>
      <c r="B123" s="27" t="s">
        <v>172</v>
      </c>
      <c r="C123" s="27"/>
      <c r="D123" s="27"/>
      <c r="E123" s="27"/>
      <c r="F123" s="27"/>
      <c r="G123" s="27"/>
      <c r="H123" s="27"/>
      <c r="I123" s="27"/>
      <c r="J123" s="27"/>
      <c r="K123" s="27"/>
      <c r="L123" s="27"/>
      <c r="M123" s="56">
        <v>0</v>
      </c>
      <c r="N123" s="27"/>
      <c r="O123" s="6"/>
    </row>
    <row r="124" spans="1:15" ht="15.6" x14ac:dyDescent="0.3">
      <c r="A124" s="26"/>
      <c r="B124" s="27" t="s">
        <v>69</v>
      </c>
      <c r="C124" s="27"/>
      <c r="D124" s="27"/>
      <c r="E124" s="27"/>
      <c r="F124" s="27"/>
      <c r="G124" s="27"/>
      <c r="H124" s="27"/>
      <c r="I124" s="27"/>
      <c r="J124" s="27"/>
      <c r="K124" s="27"/>
      <c r="L124" s="27"/>
      <c r="M124" s="56">
        <v>0</v>
      </c>
      <c r="N124" s="27"/>
      <c r="O124" s="6"/>
    </row>
    <row r="125" spans="1:15" ht="15.6" x14ac:dyDescent="0.3">
      <c r="A125" s="26"/>
      <c r="B125" s="27" t="s">
        <v>70</v>
      </c>
      <c r="C125" s="27"/>
      <c r="D125" s="27"/>
      <c r="E125" s="27"/>
      <c r="F125" s="27"/>
      <c r="G125" s="27"/>
      <c r="H125" s="27"/>
      <c r="I125" s="27"/>
      <c r="J125" s="27"/>
      <c r="K125" s="27"/>
      <c r="L125" s="27"/>
      <c r="M125" s="56">
        <f>SUM(M116:M124)</f>
        <v>13500</v>
      </c>
      <c r="N125" s="27"/>
      <c r="O125" s="6"/>
    </row>
    <row r="126" spans="1:15" ht="15.6" x14ac:dyDescent="0.3">
      <c r="A126" s="26"/>
      <c r="B126" s="27"/>
      <c r="C126" s="27"/>
      <c r="D126" s="27"/>
      <c r="E126" s="27"/>
      <c r="F126" s="27"/>
      <c r="G126" s="27"/>
      <c r="H126" s="27"/>
      <c r="I126" s="27"/>
      <c r="J126" s="27"/>
      <c r="K126" s="27"/>
      <c r="L126" s="27"/>
      <c r="M126" s="66"/>
      <c r="N126" s="27"/>
      <c r="O126" s="6"/>
    </row>
    <row r="127" spans="1:15" ht="15.6" x14ac:dyDescent="0.3">
      <c r="A127" s="7"/>
      <c r="B127" s="127" t="s">
        <v>37</v>
      </c>
      <c r="C127" s="9"/>
      <c r="D127" s="9"/>
      <c r="E127" s="9"/>
      <c r="F127" s="9"/>
      <c r="G127" s="9"/>
      <c r="H127" s="9"/>
      <c r="I127" s="9"/>
      <c r="J127" s="9"/>
      <c r="K127" s="9"/>
      <c r="L127" s="9"/>
      <c r="M127" s="55"/>
      <c r="N127" s="9"/>
      <c r="O127" s="6"/>
    </row>
    <row r="128" spans="1:15" ht="15.6" x14ac:dyDescent="0.3">
      <c r="A128" s="26"/>
      <c r="B128" s="27" t="s">
        <v>71</v>
      </c>
      <c r="C128" s="27"/>
      <c r="D128" s="27"/>
      <c r="E128" s="67"/>
      <c r="F128" s="27"/>
      <c r="G128" s="27"/>
      <c r="H128" s="27"/>
      <c r="I128" s="27"/>
      <c r="J128" s="27"/>
      <c r="K128" s="27"/>
      <c r="L128" s="27"/>
      <c r="M128" s="68" t="s">
        <v>136</v>
      </c>
      <c r="N128" s="27"/>
      <c r="O128" s="6"/>
    </row>
    <row r="129" spans="1:16" ht="15.6" x14ac:dyDescent="0.3">
      <c r="A129" s="26"/>
      <c r="B129" s="27" t="s">
        <v>72</v>
      </c>
      <c r="C129" s="29"/>
      <c r="D129" s="29"/>
      <c r="E129" s="29"/>
      <c r="F129" s="29"/>
      <c r="G129" s="29"/>
      <c r="H129" s="29"/>
      <c r="I129" s="29"/>
      <c r="J129" s="29"/>
      <c r="K129" s="29"/>
      <c r="L129" s="29"/>
      <c r="M129" s="68" t="s">
        <v>136</v>
      </c>
      <c r="N129" s="27"/>
      <c r="O129" s="6"/>
    </row>
    <row r="130" spans="1:16" ht="15.6" x14ac:dyDescent="0.3">
      <c r="A130" s="26"/>
      <c r="B130" s="27" t="s">
        <v>73</v>
      </c>
      <c r="C130" s="27"/>
      <c r="D130" s="27"/>
      <c r="E130" s="27"/>
      <c r="F130" s="27"/>
      <c r="G130" s="27"/>
      <c r="H130" s="27"/>
      <c r="I130" s="27"/>
      <c r="J130" s="27"/>
      <c r="K130" s="27"/>
      <c r="L130" s="27"/>
      <c r="M130" s="68" t="s">
        <v>136</v>
      </c>
      <c r="N130" s="27"/>
      <c r="O130" s="6"/>
    </row>
    <row r="131" spans="1:16" ht="15.6" x14ac:dyDescent="0.3">
      <c r="A131" s="26"/>
      <c r="B131" s="27" t="s">
        <v>74</v>
      </c>
      <c r="C131" s="27"/>
      <c r="D131" s="27"/>
      <c r="E131" s="27"/>
      <c r="F131" s="27"/>
      <c r="G131" s="27"/>
      <c r="H131" s="27"/>
      <c r="I131" s="27"/>
      <c r="J131" s="27"/>
      <c r="K131" s="27"/>
      <c r="L131" s="27"/>
      <c r="M131" s="68" t="s">
        <v>136</v>
      </c>
      <c r="N131" s="27"/>
      <c r="O131" s="6"/>
    </row>
    <row r="132" spans="1:16" ht="15.6" x14ac:dyDescent="0.3">
      <c r="A132" s="26"/>
      <c r="B132" s="27"/>
      <c r="C132" s="27"/>
      <c r="D132" s="27"/>
      <c r="E132" s="27"/>
      <c r="F132" s="27"/>
      <c r="G132" s="27"/>
      <c r="H132" s="27"/>
      <c r="I132" s="27"/>
      <c r="J132" s="27"/>
      <c r="K132" s="27"/>
      <c r="L132" s="27"/>
      <c r="M132" s="66"/>
      <c r="N132" s="27"/>
      <c r="O132" s="6"/>
    </row>
    <row r="133" spans="1:16" ht="15.6" x14ac:dyDescent="0.3">
      <c r="A133" s="7"/>
      <c r="B133" s="127" t="s">
        <v>75</v>
      </c>
      <c r="C133" s="15"/>
      <c r="D133" s="15"/>
      <c r="E133" s="9"/>
      <c r="F133" s="9"/>
      <c r="G133" s="9"/>
      <c r="H133" s="9"/>
      <c r="I133" s="9"/>
      <c r="J133" s="9"/>
      <c r="K133" s="9"/>
      <c r="L133" s="9"/>
      <c r="M133" s="69"/>
      <c r="N133" s="9"/>
      <c r="O133" s="6"/>
    </row>
    <row r="134" spans="1:16" ht="15.6" x14ac:dyDescent="0.3">
      <c r="A134" s="26"/>
      <c r="B134" s="27" t="s">
        <v>76</v>
      </c>
      <c r="C134" s="27"/>
      <c r="D134" s="27"/>
      <c r="E134" s="27"/>
      <c r="F134" s="27"/>
      <c r="G134" s="27"/>
      <c r="H134" s="27"/>
      <c r="I134" s="27"/>
      <c r="J134" s="27"/>
      <c r="K134" s="27"/>
      <c r="L134" s="27"/>
      <c r="M134" s="56">
        <v>0</v>
      </c>
      <c r="N134" s="27"/>
      <c r="O134" s="6"/>
    </row>
    <row r="135" spans="1:16" ht="15.6" x14ac:dyDescent="0.3">
      <c r="A135" s="26"/>
      <c r="B135" s="27" t="s">
        <v>190</v>
      </c>
      <c r="C135" s="27"/>
      <c r="D135" s="27"/>
      <c r="E135" s="27"/>
      <c r="F135" s="27"/>
      <c r="G135" s="27"/>
      <c r="H135" s="27"/>
      <c r="I135" s="27"/>
      <c r="J135" s="27"/>
      <c r="K135" s="27"/>
      <c r="L135" s="27"/>
      <c r="M135" s="56">
        <v>264</v>
      </c>
      <c r="N135" s="27"/>
      <c r="O135" s="6"/>
    </row>
    <row r="136" spans="1:16" ht="15.6" x14ac:dyDescent="0.3">
      <c r="A136" s="26"/>
      <c r="B136" s="27" t="s">
        <v>180</v>
      </c>
      <c r="C136" s="27"/>
      <c r="D136" s="27"/>
      <c r="E136" s="27"/>
      <c r="F136" s="27"/>
      <c r="G136" s="27"/>
      <c r="H136" s="27"/>
      <c r="I136" s="27"/>
      <c r="J136" s="27"/>
      <c r="K136" s="27"/>
      <c r="L136" s="27"/>
      <c r="M136" s="56">
        <v>297</v>
      </c>
      <c r="N136" s="27"/>
      <c r="O136" s="6"/>
    </row>
    <row r="137" spans="1:16" ht="15.6" x14ac:dyDescent="0.3">
      <c r="A137" s="26"/>
      <c r="B137" s="27" t="s">
        <v>77</v>
      </c>
      <c r="C137" s="27"/>
      <c r="D137" s="27"/>
      <c r="E137" s="27"/>
      <c r="F137" s="27"/>
      <c r="G137" s="27"/>
      <c r="H137" s="27"/>
      <c r="I137" s="27"/>
      <c r="J137" s="27"/>
      <c r="K137" s="27"/>
      <c r="L137" s="27"/>
      <c r="M137" s="56">
        <f>M135+M134+M136</f>
        <v>561</v>
      </c>
      <c r="N137" s="27"/>
      <c r="O137" s="6"/>
    </row>
    <row r="138" spans="1:16" ht="15.6" x14ac:dyDescent="0.3">
      <c r="A138" s="26"/>
      <c r="B138" s="27" t="s">
        <v>183</v>
      </c>
      <c r="C138" s="27"/>
      <c r="D138" s="27"/>
      <c r="E138" s="27"/>
      <c r="F138" s="27"/>
      <c r="G138" s="27"/>
      <c r="H138" s="27"/>
      <c r="I138" s="70"/>
      <c r="J138" s="27"/>
      <c r="K138" s="27"/>
      <c r="L138" s="27"/>
      <c r="M138" s="56">
        <f>M95</f>
        <v>-561</v>
      </c>
      <c r="N138" s="27"/>
      <c r="O138" s="6"/>
    </row>
    <row r="139" spans="1:16" ht="15.6" x14ac:dyDescent="0.3">
      <c r="A139" s="26"/>
      <c r="B139" s="27" t="s">
        <v>78</v>
      </c>
      <c r="C139" s="27"/>
      <c r="D139" s="27"/>
      <c r="E139" s="27"/>
      <c r="F139" s="27"/>
      <c r="G139" s="27"/>
      <c r="H139" s="27"/>
      <c r="I139" s="27"/>
      <c r="J139" s="27"/>
      <c r="K139" s="27"/>
      <c r="L139" s="27"/>
      <c r="M139" s="56">
        <f>M137+M138</f>
        <v>0</v>
      </c>
      <c r="N139" s="27"/>
      <c r="O139" s="6"/>
    </row>
    <row r="140" spans="1:16" ht="16.2" thickBot="1" x14ac:dyDescent="0.35">
      <c r="A140" s="26"/>
      <c r="B140" s="27"/>
      <c r="C140" s="27"/>
      <c r="D140" s="27"/>
      <c r="E140" s="27"/>
      <c r="F140" s="27"/>
      <c r="G140" s="27"/>
      <c r="H140" s="27"/>
      <c r="I140" s="27"/>
      <c r="J140" s="27"/>
      <c r="K140" s="27"/>
      <c r="L140" s="27"/>
      <c r="M140" s="66"/>
      <c r="N140" s="27"/>
      <c r="O140" s="6"/>
    </row>
    <row r="141" spans="1:16" ht="15.6" x14ac:dyDescent="0.3">
      <c r="A141" s="2"/>
      <c r="B141" s="5"/>
      <c r="C141" s="5"/>
      <c r="D141" s="5"/>
      <c r="E141" s="5"/>
      <c r="F141" s="5"/>
      <c r="G141" s="5"/>
      <c r="H141" s="5"/>
      <c r="I141" s="5"/>
      <c r="J141" s="5"/>
      <c r="K141" s="5"/>
      <c r="L141" s="5"/>
      <c r="M141" s="53"/>
      <c r="N141" s="5"/>
      <c r="O141" s="6"/>
    </row>
    <row r="142" spans="1:16" ht="15.6" x14ac:dyDescent="0.3">
      <c r="A142" s="7"/>
      <c r="B142" s="127" t="s">
        <v>79</v>
      </c>
      <c r="C142" s="15"/>
      <c r="D142" s="15"/>
      <c r="E142" s="9"/>
      <c r="F142" s="9"/>
      <c r="G142" s="9"/>
      <c r="H142" s="9"/>
      <c r="I142" s="9"/>
      <c r="J142" s="9"/>
      <c r="K142" s="9"/>
      <c r="L142" s="9"/>
      <c r="M142" s="55"/>
      <c r="N142" s="9"/>
      <c r="O142" s="6"/>
    </row>
    <row r="143" spans="1:16" ht="15.6" x14ac:dyDescent="0.3">
      <c r="A143" s="7"/>
      <c r="B143" s="23"/>
      <c r="C143" s="15"/>
      <c r="D143" s="15"/>
      <c r="E143" s="9"/>
      <c r="F143" s="9"/>
      <c r="G143" s="9"/>
      <c r="H143" s="9"/>
      <c r="I143" s="9"/>
      <c r="J143" s="9"/>
      <c r="K143" s="9"/>
      <c r="L143" s="9"/>
      <c r="M143" s="55"/>
      <c r="N143" s="9"/>
      <c r="O143" s="6"/>
    </row>
    <row r="144" spans="1:16" ht="15.6" x14ac:dyDescent="0.3">
      <c r="A144" s="26"/>
      <c r="B144" s="27" t="s">
        <v>188</v>
      </c>
      <c r="C144" s="71"/>
      <c r="D144" s="71"/>
      <c r="E144" s="27"/>
      <c r="F144" s="27"/>
      <c r="G144" s="27"/>
      <c r="H144" s="27"/>
      <c r="I144" s="27"/>
      <c r="J144" s="27"/>
      <c r="K144" s="27"/>
      <c r="L144" s="27"/>
      <c r="M144" s="56">
        <f>+M62+M72+M73</f>
        <v>300000</v>
      </c>
      <c r="N144" s="27"/>
      <c r="O144" s="6"/>
      <c r="P144" s="117"/>
    </row>
    <row r="145" spans="1:15" ht="15.6" x14ac:dyDescent="0.3">
      <c r="A145" s="26"/>
      <c r="B145" s="27" t="s">
        <v>80</v>
      </c>
      <c r="C145" s="71"/>
      <c r="D145" s="71"/>
      <c r="E145" s="27"/>
      <c r="F145" s="27"/>
      <c r="G145" s="27"/>
      <c r="H145" s="27"/>
      <c r="I145" s="27"/>
      <c r="J145" s="27"/>
      <c r="K145" s="27"/>
      <c r="L145" s="27"/>
      <c r="M145" s="56">
        <f>M75</f>
        <v>300000</v>
      </c>
      <c r="N145" s="27"/>
      <c r="O145" s="6"/>
    </row>
    <row r="146" spans="1:15" ht="16.2" thickBot="1" x14ac:dyDescent="0.35">
      <c r="A146" s="26"/>
      <c r="B146" s="27"/>
      <c r="C146" s="27"/>
      <c r="D146" s="27"/>
      <c r="E146" s="27"/>
      <c r="F146" s="27"/>
      <c r="G146" s="27"/>
      <c r="H146" s="27"/>
      <c r="I146" s="27"/>
      <c r="J146" s="27"/>
      <c r="K146" s="27"/>
      <c r="L146" s="27"/>
      <c r="M146" s="66"/>
      <c r="N146" s="27"/>
      <c r="O146" s="6"/>
    </row>
    <row r="147" spans="1:15" ht="15.6" x14ac:dyDescent="0.3">
      <c r="A147" s="2"/>
      <c r="B147" s="5"/>
      <c r="C147" s="5"/>
      <c r="D147" s="5"/>
      <c r="E147" s="5"/>
      <c r="F147" s="5"/>
      <c r="G147" s="5"/>
      <c r="H147" s="5"/>
      <c r="I147" s="5"/>
      <c r="J147" s="5"/>
      <c r="K147" s="5"/>
      <c r="L147" s="5"/>
      <c r="M147" s="53"/>
      <c r="N147" s="5"/>
      <c r="O147" s="6"/>
    </row>
    <row r="148" spans="1:15" ht="15.6" x14ac:dyDescent="0.3">
      <c r="A148" s="7"/>
      <c r="B148" s="127" t="s">
        <v>81</v>
      </c>
      <c r="C148" s="119"/>
      <c r="D148" s="119"/>
      <c r="E148" s="125"/>
      <c r="F148" s="125"/>
      <c r="G148" s="125"/>
      <c r="H148" s="125"/>
      <c r="I148" s="128" t="s">
        <v>127</v>
      </c>
      <c r="J148" s="128"/>
      <c r="K148" s="128" t="s">
        <v>134</v>
      </c>
      <c r="L148" s="119"/>
      <c r="M148" s="129" t="s">
        <v>144</v>
      </c>
      <c r="N148" s="11"/>
      <c r="O148" s="6"/>
    </row>
    <row r="149" spans="1:15" ht="15.6" x14ac:dyDescent="0.3">
      <c r="A149" s="26"/>
      <c r="B149" s="27" t="s">
        <v>82</v>
      </c>
      <c r="C149" s="27"/>
      <c r="D149" s="27"/>
      <c r="E149" s="27"/>
      <c r="F149" s="27"/>
      <c r="G149" s="27"/>
      <c r="H149" s="27"/>
      <c r="I149" s="56">
        <v>15000</v>
      </c>
      <c r="J149" s="27"/>
      <c r="K149" s="137">
        <v>5000</v>
      </c>
      <c r="L149" s="27"/>
      <c r="M149" s="56">
        <v>15000</v>
      </c>
      <c r="N149" s="27"/>
      <c r="O149" s="6"/>
    </row>
    <row r="150" spans="1:15" ht="15.6" x14ac:dyDescent="0.3">
      <c r="A150" s="26"/>
      <c r="B150" s="27" t="s">
        <v>83</v>
      </c>
      <c r="C150" s="27"/>
      <c r="D150" s="27"/>
      <c r="E150" s="27"/>
      <c r="F150" s="27"/>
      <c r="G150" s="27"/>
      <c r="H150" s="27"/>
      <c r="I150" s="56">
        <v>0</v>
      </c>
      <c r="J150" s="27"/>
      <c r="K150" s="56">
        <v>0</v>
      </c>
      <c r="L150" s="27"/>
      <c r="M150" s="56">
        <f>K150+I150</f>
        <v>0</v>
      </c>
      <c r="N150" s="27"/>
      <c r="O150" s="6"/>
    </row>
    <row r="151" spans="1:15" ht="15.6" x14ac:dyDescent="0.3">
      <c r="A151" s="26"/>
      <c r="B151" s="27" t="s">
        <v>84</v>
      </c>
      <c r="C151" s="27"/>
      <c r="D151" s="27"/>
      <c r="E151" s="27"/>
      <c r="F151" s="27"/>
      <c r="G151" s="27"/>
      <c r="H151" s="27"/>
      <c r="I151" s="37">
        <v>497</v>
      </c>
      <c r="J151" s="27"/>
      <c r="K151" s="27">
        <v>0</v>
      </c>
      <c r="L151" s="27"/>
      <c r="M151" s="56">
        <f>K151+I151</f>
        <v>497</v>
      </c>
      <c r="N151" s="27"/>
      <c r="O151" s="6"/>
    </row>
    <row r="152" spans="1:15" ht="15.6" x14ac:dyDescent="0.3">
      <c r="A152" s="26"/>
      <c r="B152" s="27" t="s">
        <v>85</v>
      </c>
      <c r="C152" s="27"/>
      <c r="D152" s="27"/>
      <c r="E152" s="27"/>
      <c r="F152" s="27"/>
      <c r="G152" s="27"/>
      <c r="H152" s="27"/>
      <c r="I152" s="56">
        <f>I150+I151</f>
        <v>497</v>
      </c>
      <c r="J152" s="27"/>
      <c r="K152" s="56">
        <f>K151+K150</f>
        <v>0</v>
      </c>
      <c r="L152" s="27"/>
      <c r="M152" s="56">
        <f>K152+I152</f>
        <v>497</v>
      </c>
      <c r="N152" s="27"/>
      <c r="O152" s="6"/>
    </row>
    <row r="153" spans="1:15" ht="15.6" x14ac:dyDescent="0.3">
      <c r="A153" s="26"/>
      <c r="B153" s="27" t="s">
        <v>86</v>
      </c>
      <c r="C153" s="27"/>
      <c r="D153" s="27"/>
      <c r="E153" s="27"/>
      <c r="F153" s="27"/>
      <c r="G153" s="27"/>
      <c r="H153" s="27"/>
      <c r="I153" s="56">
        <f>I149-I152-K152</f>
        <v>14503</v>
      </c>
      <c r="J153" s="27"/>
      <c r="K153" s="43">
        <v>0</v>
      </c>
      <c r="L153" s="27"/>
      <c r="M153" s="56"/>
      <c r="N153" s="27"/>
      <c r="O153" s="6"/>
    </row>
    <row r="154" spans="1:15" ht="16.2" thickBot="1" x14ac:dyDescent="0.35">
      <c r="A154" s="26"/>
      <c r="B154" s="27"/>
      <c r="C154" s="27"/>
      <c r="D154" s="27"/>
      <c r="E154" s="27"/>
      <c r="F154" s="27"/>
      <c r="G154" s="27"/>
      <c r="H154" s="27"/>
      <c r="I154" s="27"/>
      <c r="J154" s="27"/>
      <c r="K154" s="27"/>
      <c r="L154" s="27"/>
      <c r="M154" s="66"/>
      <c r="N154" s="27"/>
      <c r="O154" s="6"/>
    </row>
    <row r="155" spans="1:15" ht="15.6" x14ac:dyDescent="0.3">
      <c r="A155" s="2"/>
      <c r="B155" s="5"/>
      <c r="C155" s="5"/>
      <c r="D155" s="5"/>
      <c r="E155" s="5"/>
      <c r="F155" s="5"/>
      <c r="G155" s="5"/>
      <c r="H155" s="5"/>
      <c r="I155" s="5"/>
      <c r="J155" s="5"/>
      <c r="K155" s="5"/>
      <c r="L155" s="5"/>
      <c r="M155" s="53"/>
      <c r="N155" s="5"/>
      <c r="O155" s="6"/>
    </row>
    <row r="156" spans="1:15" ht="15.6" x14ac:dyDescent="0.3">
      <c r="A156" s="7"/>
      <c r="B156" s="127" t="s">
        <v>87</v>
      </c>
      <c r="C156" s="15"/>
      <c r="D156" s="15"/>
      <c r="E156" s="9"/>
      <c r="F156" s="9"/>
      <c r="G156" s="9"/>
      <c r="H156" s="9"/>
      <c r="I156" s="9"/>
      <c r="J156" s="9"/>
      <c r="K156" s="9"/>
      <c r="L156" s="9"/>
      <c r="M156" s="72"/>
      <c r="N156" s="9"/>
      <c r="O156" s="6"/>
    </row>
    <row r="157" spans="1:15" ht="15.6" x14ac:dyDescent="0.3">
      <c r="A157" s="26"/>
      <c r="B157" s="27" t="s">
        <v>88</v>
      </c>
      <c r="C157" s="27"/>
      <c r="D157" s="27"/>
      <c r="E157" s="27"/>
      <c r="F157" s="27"/>
      <c r="G157" s="27"/>
      <c r="H157" s="27"/>
      <c r="I157" s="27"/>
      <c r="J157" s="27"/>
      <c r="K157" s="27"/>
      <c r="L157" s="27"/>
      <c r="M157" s="63">
        <f>(M85+M87+M88+M89+M90)/-M91</f>
        <v>1.9343558282208588</v>
      </c>
      <c r="N157" s="27" t="s">
        <v>145</v>
      </c>
      <c r="O157" s="6"/>
    </row>
    <row r="158" spans="1:15" ht="15.6" x14ac:dyDescent="0.3">
      <c r="A158" s="26"/>
      <c r="B158" s="27" t="s">
        <v>89</v>
      </c>
      <c r="C158" s="27"/>
      <c r="D158" s="27"/>
      <c r="E158" s="27"/>
      <c r="F158" s="27"/>
      <c r="G158" s="27"/>
      <c r="H158" s="27"/>
      <c r="I158" s="27"/>
      <c r="J158" s="27"/>
      <c r="K158" s="27"/>
      <c r="L158" s="27"/>
      <c r="M158" s="73">
        <v>1.93</v>
      </c>
      <c r="N158" s="27" t="s">
        <v>145</v>
      </c>
      <c r="O158" s="6"/>
    </row>
    <row r="159" spans="1:15" ht="15.6" x14ac:dyDescent="0.3">
      <c r="A159" s="26"/>
      <c r="B159" s="27" t="s">
        <v>90</v>
      </c>
      <c r="C159" s="27"/>
      <c r="D159" s="27"/>
      <c r="E159" s="27"/>
      <c r="F159" s="27"/>
      <c r="G159" s="27"/>
      <c r="H159" s="27"/>
      <c r="I159" s="27"/>
      <c r="J159" s="27"/>
      <c r="K159" s="27"/>
      <c r="L159" s="27"/>
      <c r="M159" s="63">
        <f>(M85+M87+M88+M89+M90+M91)/-M92</f>
        <v>4.6385786802030458</v>
      </c>
      <c r="N159" s="27" t="s">
        <v>145</v>
      </c>
      <c r="O159" s="6"/>
    </row>
    <row r="160" spans="1:15" ht="15.6" x14ac:dyDescent="0.3">
      <c r="A160" s="26"/>
      <c r="B160" s="27" t="s">
        <v>91</v>
      </c>
      <c r="C160" s="27"/>
      <c r="D160" s="27"/>
      <c r="E160" s="27"/>
      <c r="F160" s="27"/>
      <c r="G160" s="27"/>
      <c r="H160" s="27"/>
      <c r="I160" s="27"/>
      <c r="J160" s="27"/>
      <c r="K160" s="27"/>
      <c r="L160" s="27"/>
      <c r="M160" s="74">
        <v>4.6399999999999997</v>
      </c>
      <c r="N160" s="27" t="s">
        <v>145</v>
      </c>
      <c r="O160" s="6"/>
    </row>
    <row r="161" spans="1:15" ht="15.6" x14ac:dyDescent="0.3">
      <c r="A161" s="26"/>
      <c r="B161" s="27" t="s">
        <v>181</v>
      </c>
      <c r="C161" s="27"/>
      <c r="D161" s="27"/>
      <c r="E161" s="27"/>
      <c r="F161" s="27"/>
      <c r="G161" s="27"/>
      <c r="H161" s="27"/>
      <c r="I161" s="27"/>
      <c r="J161" s="27"/>
      <c r="K161" s="27"/>
      <c r="L161" s="27"/>
      <c r="M161" s="63">
        <f>(M85+M87+M88+M89+M90+M91+M92)/-M93</f>
        <v>5.4138972809667676</v>
      </c>
      <c r="N161" s="27" t="s">
        <v>145</v>
      </c>
      <c r="O161" s="6"/>
    </row>
    <row r="162" spans="1:15" ht="15.6" x14ac:dyDescent="0.3">
      <c r="A162" s="26"/>
      <c r="B162" s="27" t="s">
        <v>182</v>
      </c>
      <c r="C162" s="27"/>
      <c r="D162" s="27"/>
      <c r="E162" s="27"/>
      <c r="F162" s="27"/>
      <c r="G162" s="27"/>
      <c r="H162" s="27"/>
      <c r="I162" s="27"/>
      <c r="J162" s="27"/>
      <c r="K162" s="27"/>
      <c r="L162" s="27"/>
      <c r="M162" s="74">
        <v>5.41</v>
      </c>
      <c r="N162" s="27" t="s">
        <v>145</v>
      </c>
      <c r="O162" s="6"/>
    </row>
    <row r="163" spans="1:15" ht="15.6" x14ac:dyDescent="0.3">
      <c r="A163" s="26"/>
      <c r="B163" s="27"/>
      <c r="C163" s="27"/>
      <c r="D163" s="27"/>
      <c r="E163" s="27"/>
      <c r="F163" s="27"/>
      <c r="G163" s="27"/>
      <c r="H163" s="27"/>
      <c r="I163" s="27"/>
      <c r="J163" s="27"/>
      <c r="K163" s="27"/>
      <c r="L163" s="27"/>
      <c r="M163" s="27"/>
      <c r="N163" s="27"/>
      <c r="O163" s="6"/>
    </row>
    <row r="164" spans="1:15" ht="15.6" x14ac:dyDescent="0.3">
      <c r="A164" s="26"/>
      <c r="B164" s="27"/>
      <c r="C164" s="27"/>
      <c r="D164" s="27"/>
      <c r="E164" s="27"/>
      <c r="F164" s="27"/>
      <c r="G164" s="27"/>
      <c r="H164" s="27"/>
      <c r="I164" s="27"/>
      <c r="J164" s="27"/>
      <c r="K164" s="27"/>
      <c r="L164" s="27"/>
      <c r="M164" s="27"/>
      <c r="N164" s="27"/>
      <c r="O164" s="6"/>
    </row>
    <row r="165" spans="1:15" ht="15.6" x14ac:dyDescent="0.3">
      <c r="A165" s="7"/>
      <c r="B165" s="9"/>
      <c r="C165" s="9"/>
      <c r="D165" s="9"/>
      <c r="E165" s="9"/>
      <c r="F165" s="9"/>
      <c r="G165" s="9"/>
      <c r="H165" s="9"/>
      <c r="I165" s="9"/>
      <c r="J165" s="9"/>
      <c r="K165" s="9"/>
      <c r="L165" s="9"/>
      <c r="M165" s="9"/>
      <c r="N165" s="9"/>
      <c r="O165" s="6"/>
    </row>
    <row r="166" spans="1:15" ht="18" thickBot="1" x14ac:dyDescent="0.35">
      <c r="A166" s="109"/>
      <c r="B166" s="110" t="str">
        <f>B112</f>
        <v>PSF1 INVESTOR REPORT QUARTER ENDING APRIL 2005</v>
      </c>
      <c r="C166" s="115"/>
      <c r="D166" s="115"/>
      <c r="E166" s="115"/>
      <c r="F166" s="115"/>
      <c r="G166" s="115"/>
      <c r="H166" s="115"/>
      <c r="I166" s="115"/>
      <c r="J166" s="115"/>
      <c r="K166" s="115"/>
      <c r="L166" s="115"/>
      <c r="M166" s="115"/>
      <c r="N166" s="116"/>
      <c r="O166" s="6"/>
    </row>
    <row r="167" spans="1:15" ht="15.6" x14ac:dyDescent="0.3">
      <c r="A167" s="75"/>
      <c r="B167" s="64" t="s">
        <v>92</v>
      </c>
      <c r="C167" s="76"/>
      <c r="D167" s="76"/>
      <c r="E167" s="76"/>
      <c r="F167" s="76"/>
      <c r="G167" s="76"/>
      <c r="H167" s="77"/>
      <c r="I167" s="77"/>
      <c r="J167" s="77"/>
      <c r="K167" s="78">
        <f>D80</f>
        <v>38471</v>
      </c>
      <c r="L167" s="5"/>
      <c r="M167" s="5"/>
      <c r="N167" s="5"/>
      <c r="O167" s="6"/>
    </row>
    <row r="168" spans="1:15" ht="15.6" x14ac:dyDescent="0.3">
      <c r="A168" s="79"/>
      <c r="B168" s="80"/>
      <c r="C168" s="81"/>
      <c r="D168" s="81"/>
      <c r="E168" s="81"/>
      <c r="F168" s="81"/>
      <c r="G168" s="81"/>
      <c r="H168" s="82"/>
      <c r="I168" s="82"/>
      <c r="J168" s="82"/>
      <c r="K168" s="82"/>
      <c r="L168" s="9"/>
      <c r="M168" s="9"/>
      <c r="N168" s="9"/>
      <c r="O168" s="6"/>
    </row>
    <row r="169" spans="1:15" ht="15.6" x14ac:dyDescent="0.3">
      <c r="A169" s="83"/>
      <c r="B169" s="84" t="s">
        <v>93</v>
      </c>
      <c r="C169" s="85"/>
      <c r="D169" s="85"/>
      <c r="E169" s="85"/>
      <c r="F169" s="85"/>
      <c r="G169" s="85"/>
      <c r="H169" s="70"/>
      <c r="I169" s="70"/>
      <c r="J169" s="70"/>
      <c r="K169" s="86">
        <v>9.4600000000000004E-2</v>
      </c>
      <c r="L169" s="27"/>
      <c r="M169" s="27"/>
      <c r="N169" s="27"/>
      <c r="O169" s="6"/>
    </row>
    <row r="170" spans="1:15" ht="15.6" x14ac:dyDescent="0.3">
      <c r="A170" s="83"/>
      <c r="B170" s="84" t="s">
        <v>94</v>
      </c>
      <c r="C170" s="85"/>
      <c r="D170" s="85"/>
      <c r="E170" s="85"/>
      <c r="F170" s="85"/>
      <c r="G170" s="85"/>
      <c r="H170" s="70"/>
      <c r="I170" s="70"/>
      <c r="J170" s="70"/>
      <c r="K170" s="42">
        <f>+M35</f>
        <v>5.2327499999999992E-2</v>
      </c>
      <c r="L170" s="27"/>
      <c r="M170" s="27"/>
      <c r="N170" s="27"/>
      <c r="O170" s="6"/>
    </row>
    <row r="171" spans="1:15" ht="15.6" x14ac:dyDescent="0.3">
      <c r="A171" s="83"/>
      <c r="B171" s="84" t="s">
        <v>95</v>
      </c>
      <c r="C171" s="85"/>
      <c r="D171" s="85"/>
      <c r="E171" s="85"/>
      <c r="F171" s="85"/>
      <c r="G171" s="85"/>
      <c r="H171" s="70"/>
      <c r="I171" s="70"/>
      <c r="J171" s="70"/>
      <c r="K171" s="86">
        <f>K169-K170</f>
        <v>4.2272500000000011E-2</v>
      </c>
      <c r="L171" s="27"/>
      <c r="M171" s="27"/>
      <c r="N171" s="27"/>
      <c r="O171" s="6"/>
    </row>
    <row r="172" spans="1:15" ht="15.6" x14ac:dyDescent="0.3">
      <c r="A172" s="83"/>
      <c r="B172" s="84" t="s">
        <v>96</v>
      </c>
      <c r="C172" s="85"/>
      <c r="D172" s="85"/>
      <c r="E172" s="85"/>
      <c r="F172" s="85"/>
      <c r="G172" s="85"/>
      <c r="H172" s="70"/>
      <c r="I172" s="70"/>
      <c r="J172" s="70"/>
      <c r="K172" s="86">
        <v>9.5600000000000004E-2</v>
      </c>
      <c r="L172" s="27"/>
      <c r="M172" s="27"/>
      <c r="N172" s="27"/>
      <c r="O172" s="6"/>
    </row>
    <row r="173" spans="1:15" ht="15.6" x14ac:dyDescent="0.3">
      <c r="A173" s="83"/>
      <c r="B173" s="84" t="s">
        <v>97</v>
      </c>
      <c r="C173" s="85"/>
      <c r="D173" s="85"/>
      <c r="E173" s="85"/>
      <c r="F173" s="85"/>
      <c r="G173" s="85"/>
      <c r="H173" s="70"/>
      <c r="I173" s="70"/>
      <c r="J173" s="70"/>
      <c r="K173" s="86">
        <f>M35</f>
        <v>5.2327499999999992E-2</v>
      </c>
      <c r="L173" s="27"/>
      <c r="M173" s="27"/>
      <c r="N173" s="27"/>
      <c r="O173" s="6"/>
    </row>
    <row r="174" spans="1:15" ht="15.6" x14ac:dyDescent="0.3">
      <c r="A174" s="83"/>
      <c r="B174" s="84" t="s">
        <v>98</v>
      </c>
      <c r="C174" s="85"/>
      <c r="D174" s="85"/>
      <c r="E174" s="85"/>
      <c r="F174" s="85"/>
      <c r="G174" s="85"/>
      <c r="H174" s="70"/>
      <c r="I174" s="70"/>
      <c r="J174" s="70"/>
      <c r="K174" s="86">
        <f>K172-K173</f>
        <v>4.3272500000000012E-2</v>
      </c>
      <c r="L174" s="27"/>
      <c r="M174" s="27"/>
      <c r="N174" s="27"/>
      <c r="O174" s="6"/>
    </row>
    <row r="175" spans="1:15" ht="15.6" x14ac:dyDescent="0.3">
      <c r="A175" s="83"/>
      <c r="B175" s="84" t="s">
        <v>211</v>
      </c>
      <c r="C175" s="85"/>
      <c r="D175" s="85"/>
      <c r="E175" s="85"/>
      <c r="F175" s="85"/>
      <c r="G175" s="85"/>
      <c r="H175" s="70"/>
      <c r="I175" s="70"/>
      <c r="J175" s="70"/>
      <c r="K175" s="86">
        <f>(+M85+M87)/C58</f>
        <v>4.0167963011515206E-2</v>
      </c>
      <c r="L175" s="27"/>
      <c r="M175" s="27"/>
      <c r="N175" s="27"/>
      <c r="O175" s="6"/>
    </row>
    <row r="176" spans="1:15" ht="15.6" x14ac:dyDescent="0.3">
      <c r="A176" s="83"/>
      <c r="B176" s="84" t="s">
        <v>99</v>
      </c>
      <c r="C176" s="85"/>
      <c r="D176" s="85"/>
      <c r="E176" s="85"/>
      <c r="F176" s="85"/>
      <c r="G176" s="85"/>
      <c r="H176" s="70"/>
      <c r="I176" s="70"/>
      <c r="J176" s="70"/>
      <c r="K176" s="139">
        <v>49628</v>
      </c>
      <c r="L176" s="27"/>
      <c r="M176" s="27"/>
      <c r="N176" s="27"/>
      <c r="O176" s="6"/>
    </row>
    <row r="177" spans="1:15" ht="15.6" x14ac:dyDescent="0.3">
      <c r="A177" s="83"/>
      <c r="B177" s="84" t="s">
        <v>100</v>
      </c>
      <c r="C177" s="85"/>
      <c r="D177" s="85"/>
      <c r="E177" s="85"/>
      <c r="F177" s="85"/>
      <c r="G177" s="85"/>
      <c r="H177" s="70"/>
      <c r="I177" s="70"/>
      <c r="J177" s="70"/>
      <c r="K177" s="139">
        <v>49628</v>
      </c>
      <c r="L177" s="27"/>
      <c r="M177" s="27"/>
      <c r="N177" s="27"/>
      <c r="O177" s="6"/>
    </row>
    <row r="178" spans="1:15" ht="15.6" x14ac:dyDescent="0.3">
      <c r="A178" s="83"/>
      <c r="B178" s="84" t="s">
        <v>165</v>
      </c>
      <c r="C178" s="85"/>
      <c r="D178" s="85"/>
      <c r="E178" s="85"/>
      <c r="F178" s="85"/>
      <c r="G178" s="85"/>
      <c r="H178" s="70"/>
      <c r="I178" s="70"/>
      <c r="J178" s="70"/>
      <c r="K178" s="139">
        <v>49628</v>
      </c>
      <c r="L178" s="27"/>
      <c r="M178" s="27"/>
      <c r="N178" s="27"/>
      <c r="O178" s="6"/>
    </row>
    <row r="179" spans="1:15" ht="15.6" x14ac:dyDescent="0.3">
      <c r="A179" s="83"/>
      <c r="B179" s="84" t="s">
        <v>101</v>
      </c>
      <c r="C179" s="85"/>
      <c r="D179" s="85"/>
      <c r="E179" s="85"/>
      <c r="F179" s="85"/>
      <c r="G179" s="85"/>
      <c r="H179" s="70"/>
      <c r="I179" s="70"/>
      <c r="J179" s="70"/>
      <c r="K179" s="135">
        <v>15.78</v>
      </c>
      <c r="L179" s="27" t="s">
        <v>139</v>
      </c>
      <c r="M179" s="27"/>
      <c r="N179" s="27"/>
      <c r="O179" s="6"/>
    </row>
    <row r="180" spans="1:15" ht="15.6" x14ac:dyDescent="0.3">
      <c r="A180" s="83"/>
      <c r="B180" s="84" t="s">
        <v>102</v>
      </c>
      <c r="C180" s="85"/>
      <c r="D180" s="85"/>
      <c r="E180" s="85"/>
      <c r="F180" s="85"/>
      <c r="G180" s="85"/>
      <c r="H180" s="70"/>
      <c r="I180" s="70"/>
      <c r="J180" s="70"/>
      <c r="K180" s="135">
        <v>15.66</v>
      </c>
      <c r="L180" s="27" t="s">
        <v>139</v>
      </c>
      <c r="M180" s="27"/>
      <c r="N180" s="27"/>
      <c r="O180" s="6"/>
    </row>
    <row r="181" spans="1:15" ht="15.6" x14ac:dyDescent="0.3">
      <c r="A181" s="83"/>
      <c r="B181" s="84" t="s">
        <v>103</v>
      </c>
      <c r="C181" s="85"/>
      <c r="D181" s="85"/>
      <c r="E181" s="85"/>
      <c r="F181" s="85"/>
      <c r="G181" s="85"/>
      <c r="H181" s="70"/>
      <c r="I181" s="70"/>
      <c r="J181" s="70"/>
      <c r="K181" s="138">
        <f>K80/E58</f>
        <v>0.13943093998526787</v>
      </c>
      <c r="L181" s="27"/>
      <c r="M181" s="27"/>
      <c r="N181" s="27"/>
      <c r="O181" s="6"/>
    </row>
    <row r="182" spans="1:15" ht="15.6" x14ac:dyDescent="0.3">
      <c r="A182" s="83"/>
      <c r="B182" s="84" t="s">
        <v>104</v>
      </c>
      <c r="C182" s="85"/>
      <c r="D182" s="85"/>
      <c r="E182" s="85"/>
      <c r="F182" s="85"/>
      <c r="G182" s="85"/>
      <c r="H182" s="70"/>
      <c r="I182" s="70"/>
      <c r="J182" s="70"/>
      <c r="K182" s="86">
        <v>0.3276</v>
      </c>
      <c r="L182" s="27"/>
      <c r="M182" s="27"/>
      <c r="N182" s="27"/>
      <c r="O182" s="6"/>
    </row>
    <row r="183" spans="1:15" ht="15.6" x14ac:dyDescent="0.3">
      <c r="A183" s="83"/>
      <c r="B183" s="84"/>
      <c r="C183" s="84"/>
      <c r="D183" s="84"/>
      <c r="E183" s="84"/>
      <c r="F183" s="84"/>
      <c r="G183" s="84"/>
      <c r="H183" s="27"/>
      <c r="I183" s="27"/>
      <c r="J183" s="27"/>
      <c r="K183" s="66"/>
      <c r="L183" s="27"/>
      <c r="M183" s="87"/>
      <c r="N183" s="27"/>
      <c r="O183" s="6"/>
    </row>
    <row r="184" spans="1:15" ht="15.6" x14ac:dyDescent="0.3">
      <c r="A184" s="88"/>
      <c r="B184" s="16" t="s">
        <v>105</v>
      </c>
      <c r="C184" s="89"/>
      <c r="D184" s="89"/>
      <c r="E184" s="90"/>
      <c r="F184" s="89"/>
      <c r="G184" s="90"/>
      <c r="H184" s="89"/>
      <c r="I184" s="90"/>
      <c r="J184" s="19" t="s">
        <v>128</v>
      </c>
      <c r="K184" s="91" t="s">
        <v>135</v>
      </c>
      <c r="L184" s="9"/>
      <c r="M184" s="9"/>
      <c r="N184" s="9"/>
      <c r="O184" s="6"/>
    </row>
    <row r="185" spans="1:15" ht="15.6" x14ac:dyDescent="0.3">
      <c r="A185" s="92"/>
      <c r="B185" s="84" t="s">
        <v>106</v>
      </c>
      <c r="C185" s="57"/>
      <c r="D185" s="57"/>
      <c r="E185" s="57"/>
      <c r="F185" s="57"/>
      <c r="G185" s="27"/>
      <c r="H185" s="27"/>
      <c r="I185" s="27"/>
      <c r="J185" s="33">
        <v>454</v>
      </c>
      <c r="K185" s="93">
        <v>11507</v>
      </c>
      <c r="L185" s="27"/>
      <c r="M185" s="87"/>
      <c r="N185" s="94"/>
      <c r="O185" s="6"/>
    </row>
    <row r="186" spans="1:15" ht="15.6" x14ac:dyDescent="0.3">
      <c r="A186" s="92"/>
      <c r="B186" s="84" t="s">
        <v>196</v>
      </c>
      <c r="C186" s="57"/>
      <c r="D186" s="57"/>
      <c r="E186" s="57"/>
      <c r="F186" s="57"/>
      <c r="G186" s="27"/>
      <c r="H186" s="27"/>
      <c r="I186" s="27"/>
      <c r="J186" s="33">
        <v>5</v>
      </c>
      <c r="K186" s="93">
        <v>166</v>
      </c>
      <c r="L186" s="27"/>
      <c r="M186" s="87"/>
      <c r="N186" s="94"/>
      <c r="O186" s="6"/>
    </row>
    <row r="187" spans="1:15" ht="15.6" x14ac:dyDescent="0.3">
      <c r="A187" s="92"/>
      <c r="B187" s="130" t="s">
        <v>107</v>
      </c>
      <c r="C187" s="57"/>
      <c r="D187" s="57"/>
      <c r="E187" s="57"/>
      <c r="F187" s="57"/>
      <c r="G187" s="27"/>
      <c r="H187" s="27"/>
      <c r="I187" s="27"/>
      <c r="J187" s="27"/>
      <c r="K187" s="93">
        <v>0</v>
      </c>
      <c r="L187" s="27"/>
      <c r="M187" s="87"/>
      <c r="N187" s="94"/>
      <c r="O187" s="6"/>
    </row>
    <row r="188" spans="1:15" ht="15.6" x14ac:dyDescent="0.3">
      <c r="A188" s="92"/>
      <c r="B188" s="130" t="s">
        <v>108</v>
      </c>
      <c r="C188" s="57"/>
      <c r="D188" s="57"/>
      <c r="E188" s="57"/>
      <c r="F188" s="57"/>
      <c r="G188" s="27"/>
      <c r="H188" s="27"/>
      <c r="I188" s="27"/>
      <c r="J188" s="27"/>
      <c r="K188" s="93">
        <f>+I58</f>
        <v>497</v>
      </c>
      <c r="L188" s="27"/>
      <c r="M188" s="87"/>
      <c r="N188" s="94"/>
      <c r="O188" s="6"/>
    </row>
    <row r="189" spans="1:15" ht="15.6" x14ac:dyDescent="0.3">
      <c r="A189" s="95"/>
      <c r="B189" s="130" t="s">
        <v>109</v>
      </c>
      <c r="C189" s="57"/>
      <c r="D189" s="57"/>
      <c r="E189" s="84"/>
      <c r="F189" s="84"/>
      <c r="G189" s="84"/>
      <c r="H189" s="27"/>
      <c r="I189" s="27"/>
      <c r="J189" s="27"/>
      <c r="K189" s="93"/>
      <c r="L189" s="27"/>
      <c r="M189" s="87"/>
      <c r="N189" s="96"/>
      <c r="O189" s="6"/>
    </row>
    <row r="190" spans="1:15" ht="15.6" x14ac:dyDescent="0.3">
      <c r="A190" s="95"/>
      <c r="B190" s="131" t="s">
        <v>110</v>
      </c>
      <c r="C190" s="57"/>
      <c r="D190" s="57"/>
      <c r="E190" s="84"/>
      <c r="F190" s="84"/>
      <c r="G190" s="84"/>
      <c r="H190" s="27"/>
      <c r="I190" s="27"/>
      <c r="J190" s="27"/>
      <c r="K190" s="93">
        <f>+M137</f>
        <v>561</v>
      </c>
      <c r="L190" s="27"/>
      <c r="M190" s="87"/>
      <c r="N190" s="96"/>
      <c r="O190" s="6"/>
    </row>
    <row r="191" spans="1:15" ht="15.6" x14ac:dyDescent="0.3">
      <c r="A191" s="92"/>
      <c r="B191" s="84" t="s">
        <v>111</v>
      </c>
      <c r="C191" s="57"/>
      <c r="D191" s="57"/>
      <c r="E191" s="57"/>
      <c r="F191" s="57"/>
      <c r="G191" s="57"/>
      <c r="H191" s="27"/>
      <c r="I191" s="27"/>
      <c r="J191" s="27"/>
      <c r="K191" s="93">
        <f>+K190</f>
        <v>561</v>
      </c>
      <c r="L191" s="27"/>
      <c r="M191" s="87"/>
      <c r="N191" s="96"/>
      <c r="O191" s="6"/>
    </row>
    <row r="192" spans="1:15" ht="15.6" x14ac:dyDescent="0.3">
      <c r="A192" s="92"/>
      <c r="B192" s="84" t="s">
        <v>112</v>
      </c>
      <c r="C192" s="57"/>
      <c r="D192" s="57"/>
      <c r="E192" s="57"/>
      <c r="F192" s="57"/>
      <c r="G192" s="57"/>
      <c r="H192" s="27"/>
      <c r="I192" s="27"/>
      <c r="J192" s="27"/>
      <c r="K192" s="93">
        <v>0</v>
      </c>
      <c r="L192" s="27"/>
      <c r="M192" s="87"/>
      <c r="N192" s="96"/>
      <c r="O192" s="6"/>
    </row>
    <row r="193" spans="1:15" ht="15.6" x14ac:dyDescent="0.3">
      <c r="A193" s="95"/>
      <c r="B193" s="130" t="s">
        <v>241</v>
      </c>
      <c r="C193" s="57"/>
      <c r="D193" s="57"/>
      <c r="E193" s="84"/>
      <c r="F193" s="84"/>
      <c r="G193" s="84"/>
      <c r="H193" s="27"/>
      <c r="I193" s="27"/>
      <c r="J193" s="27"/>
      <c r="K193" s="93"/>
      <c r="L193" s="27"/>
      <c r="M193" s="87"/>
      <c r="N193" s="96"/>
      <c r="O193" s="6"/>
    </row>
    <row r="194" spans="1:15" ht="15.6" x14ac:dyDescent="0.3">
      <c r="A194" s="95"/>
      <c r="B194" s="84" t="s">
        <v>236</v>
      </c>
      <c r="C194" s="57"/>
      <c r="D194" s="57"/>
      <c r="E194" s="84"/>
      <c r="F194" s="84"/>
      <c r="G194" s="84"/>
      <c r="H194" s="27"/>
      <c r="I194" s="27"/>
      <c r="J194" s="27"/>
      <c r="K194" s="93">
        <v>0</v>
      </c>
      <c r="L194" s="27"/>
      <c r="M194" s="87"/>
      <c r="N194" s="96"/>
      <c r="O194" s="6"/>
    </row>
    <row r="195" spans="1:15" ht="15.6" x14ac:dyDescent="0.3">
      <c r="A195" s="92"/>
      <c r="B195" s="84" t="s">
        <v>113</v>
      </c>
      <c r="C195" s="57"/>
      <c r="D195" s="57"/>
      <c r="E195" s="97"/>
      <c r="F195" s="97"/>
      <c r="G195" s="98"/>
      <c r="H195" s="27"/>
      <c r="I195" s="27"/>
      <c r="J195" s="27"/>
      <c r="K195" s="68">
        <v>0</v>
      </c>
      <c r="L195" s="27"/>
      <c r="M195" s="87"/>
      <c r="N195" s="96"/>
      <c r="O195" s="6"/>
    </row>
    <row r="196" spans="1:15" ht="15.6" x14ac:dyDescent="0.3">
      <c r="A196" s="92"/>
      <c r="B196" s="84" t="s">
        <v>114</v>
      </c>
      <c r="C196" s="57"/>
      <c r="D196" s="57"/>
      <c r="E196" s="97"/>
      <c r="F196" s="97"/>
      <c r="G196" s="98"/>
      <c r="H196" s="27"/>
      <c r="I196" s="27"/>
      <c r="J196" s="27"/>
      <c r="K196" s="68">
        <v>0</v>
      </c>
      <c r="L196" s="27"/>
      <c r="M196" s="87"/>
      <c r="N196" s="96"/>
      <c r="O196" s="6"/>
    </row>
    <row r="197" spans="1:15" ht="15.6" x14ac:dyDescent="0.3">
      <c r="A197" s="92"/>
      <c r="B197" s="84"/>
      <c r="C197" s="57"/>
      <c r="D197" s="57"/>
      <c r="E197" s="99"/>
      <c r="F197" s="97"/>
      <c r="G197" s="98"/>
      <c r="H197" s="27"/>
      <c r="I197" s="27"/>
      <c r="J197" s="27"/>
      <c r="K197" s="100"/>
      <c r="L197" s="27"/>
      <c r="M197" s="87"/>
      <c r="N197" s="96"/>
      <c r="O197" s="6"/>
    </row>
    <row r="198" spans="1:15" ht="15.6" x14ac:dyDescent="0.3">
      <c r="A198" s="7"/>
      <c r="B198" s="16" t="s">
        <v>115</v>
      </c>
      <c r="C198" s="89"/>
      <c r="D198" s="89"/>
      <c r="E198" s="90"/>
      <c r="F198" s="89"/>
      <c r="G198" s="90"/>
      <c r="H198" s="89"/>
      <c r="I198" s="91" t="s">
        <v>128</v>
      </c>
      <c r="J198" s="19" t="s">
        <v>129</v>
      </c>
      <c r="K198" s="91" t="s">
        <v>137</v>
      </c>
      <c r="L198" s="19" t="s">
        <v>129</v>
      </c>
      <c r="M198" s="9"/>
      <c r="N198" s="101"/>
      <c r="O198" s="6"/>
    </row>
    <row r="199" spans="1:15" ht="15.6" x14ac:dyDescent="0.3">
      <c r="A199" s="26"/>
      <c r="B199" s="57" t="s">
        <v>116</v>
      </c>
      <c r="C199" s="102"/>
      <c r="D199" s="102"/>
      <c r="E199" s="57"/>
      <c r="F199" s="102"/>
      <c r="G199" s="27"/>
      <c r="H199" s="102"/>
      <c r="I199" s="57">
        <v>8478</v>
      </c>
      <c r="J199" s="103">
        <f>I199/I208</f>
        <v>0.94917151813703537</v>
      </c>
      <c r="K199" s="56">
        <v>195213</v>
      </c>
      <c r="L199" s="136">
        <f>K199/K208</f>
        <v>0.9443353328173375</v>
      </c>
      <c r="M199" s="87"/>
      <c r="N199" s="96"/>
      <c r="O199" s="6"/>
    </row>
    <row r="200" spans="1:15" ht="15.6" x14ac:dyDescent="0.3">
      <c r="A200" s="26"/>
      <c r="B200" s="57" t="s">
        <v>117</v>
      </c>
      <c r="C200" s="102"/>
      <c r="D200" s="102"/>
      <c r="E200" s="57"/>
      <c r="F200" s="102"/>
      <c r="G200" s="27"/>
      <c r="H200" s="103"/>
      <c r="I200" s="57">
        <v>181</v>
      </c>
      <c r="J200" s="103">
        <f>I200/I208</f>
        <v>2.0264218540080609E-2</v>
      </c>
      <c r="K200" s="56">
        <v>4413</v>
      </c>
      <c r="L200" s="136">
        <f>K200/K208</f>
        <v>2.1347716718266255E-2</v>
      </c>
      <c r="M200" s="87"/>
      <c r="N200" s="96"/>
      <c r="O200" s="6"/>
    </row>
    <row r="201" spans="1:15" ht="15.6" x14ac:dyDescent="0.3">
      <c r="A201" s="26"/>
      <c r="B201" s="57" t="s">
        <v>118</v>
      </c>
      <c r="C201" s="102"/>
      <c r="D201" s="102"/>
      <c r="E201" s="57"/>
      <c r="F201" s="102"/>
      <c r="G201" s="27"/>
      <c r="H201" s="103"/>
      <c r="I201" s="57">
        <v>82</v>
      </c>
      <c r="J201" s="103">
        <f>I201/I208</f>
        <v>9.1804746977160769E-3</v>
      </c>
      <c r="K201" s="56">
        <v>2071</v>
      </c>
      <c r="L201" s="136">
        <f>K201/K208</f>
        <v>1.0018382352941177E-2</v>
      </c>
      <c r="M201" s="87"/>
      <c r="N201" s="96"/>
      <c r="O201" s="6"/>
    </row>
    <row r="202" spans="1:15" ht="15.6" x14ac:dyDescent="0.3">
      <c r="A202" s="26"/>
      <c r="B202" s="57" t="s">
        <v>167</v>
      </c>
      <c r="C202" s="102"/>
      <c r="D202" s="102"/>
      <c r="E202" s="57"/>
      <c r="F202" s="102"/>
      <c r="G202" s="27"/>
      <c r="H202" s="103"/>
      <c r="I202" s="57">
        <v>63</v>
      </c>
      <c r="J202" s="103">
        <f>I202/I208</f>
        <v>7.0532915360501571E-3</v>
      </c>
      <c r="K202" s="56">
        <v>1761</v>
      </c>
      <c r="L202" s="136">
        <f>K202/K208</f>
        <v>8.5187693498452004E-3</v>
      </c>
      <c r="M202" s="87"/>
      <c r="N202" s="96"/>
      <c r="O202" s="6"/>
    </row>
    <row r="203" spans="1:15" ht="15.6" x14ac:dyDescent="0.3">
      <c r="A203" s="26"/>
      <c r="B203" s="57" t="s">
        <v>168</v>
      </c>
      <c r="C203" s="102"/>
      <c r="D203" s="102"/>
      <c r="E203" s="57"/>
      <c r="F203" s="102"/>
      <c r="G203" s="27"/>
      <c r="H203" s="103"/>
      <c r="I203" s="57">
        <v>35</v>
      </c>
      <c r="J203" s="103">
        <f>I203/I208</f>
        <v>3.9184952978056423E-3</v>
      </c>
      <c r="K203" s="56">
        <v>870</v>
      </c>
      <c r="L203" s="136">
        <f>K203/K208</f>
        <v>4.2085913312693499E-3</v>
      </c>
      <c r="M203" s="87"/>
      <c r="N203" s="96"/>
      <c r="O203" s="6"/>
    </row>
    <row r="204" spans="1:15" ht="15.6" x14ac:dyDescent="0.3">
      <c r="A204" s="26"/>
      <c r="B204" s="57" t="s">
        <v>169</v>
      </c>
      <c r="C204" s="102"/>
      <c r="D204" s="102"/>
      <c r="E204" s="57"/>
      <c r="F204" s="102"/>
      <c r="G204" s="27"/>
      <c r="H204" s="103"/>
      <c r="I204" s="57">
        <v>32</v>
      </c>
      <c r="J204" s="103">
        <f>I204/I208</f>
        <v>3.5826242722794446E-3</v>
      </c>
      <c r="K204" s="56">
        <v>690</v>
      </c>
      <c r="L204" s="136">
        <f>K204/K208</f>
        <v>3.3378482972136222E-3</v>
      </c>
      <c r="M204" s="87"/>
      <c r="N204" s="96"/>
      <c r="O204" s="6"/>
    </row>
    <row r="205" spans="1:15" ht="15.6" x14ac:dyDescent="0.3">
      <c r="A205" s="26"/>
      <c r="B205" s="57" t="s">
        <v>176</v>
      </c>
      <c r="C205" s="102"/>
      <c r="D205" s="102"/>
      <c r="E205" s="57"/>
      <c r="F205" s="102"/>
      <c r="G205" s="27"/>
      <c r="H205" s="103"/>
      <c r="I205" s="57">
        <v>45</v>
      </c>
      <c r="J205" s="103">
        <f>I205/I208</f>
        <v>5.0380653828929695E-3</v>
      </c>
      <c r="K205" s="56">
        <v>1264</v>
      </c>
      <c r="L205" s="136">
        <f>K205/K208</f>
        <v>6.1145510835913311E-3</v>
      </c>
      <c r="M205" s="87"/>
      <c r="N205" s="96"/>
      <c r="O205" s="6"/>
    </row>
    <row r="206" spans="1:15" ht="15.6" x14ac:dyDescent="0.3">
      <c r="A206" s="26"/>
      <c r="B206" s="57" t="s">
        <v>177</v>
      </c>
      <c r="C206" s="102"/>
      <c r="D206" s="102"/>
      <c r="E206" s="57"/>
      <c r="F206" s="102"/>
      <c r="G206" s="27"/>
      <c r="H206" s="103"/>
      <c r="I206" s="57">
        <v>16</v>
      </c>
      <c r="J206" s="103">
        <f>+I206/I208</f>
        <v>1.7913121361397223E-3</v>
      </c>
      <c r="K206" s="56">
        <v>438</v>
      </c>
      <c r="L206" s="136">
        <f>+K206/K208</f>
        <v>2.1188080495356037E-3</v>
      </c>
      <c r="M206" s="87"/>
      <c r="N206" s="94"/>
      <c r="O206" s="6"/>
    </row>
    <row r="207" spans="1:15" ht="15.6" x14ac:dyDescent="0.3">
      <c r="A207" s="26"/>
      <c r="B207" s="57" t="s">
        <v>170</v>
      </c>
      <c r="C207" s="102"/>
      <c r="D207" s="102"/>
      <c r="E207" s="57"/>
      <c r="F207" s="102"/>
      <c r="G207" s="27"/>
      <c r="H207" s="103"/>
      <c r="I207" s="57">
        <v>0</v>
      </c>
      <c r="J207" s="103">
        <f>I207/I208</f>
        <v>0</v>
      </c>
      <c r="K207" s="56">
        <v>0</v>
      </c>
      <c r="L207" s="136">
        <f>+K207/K208</f>
        <v>0</v>
      </c>
      <c r="M207" s="87"/>
      <c r="N207" s="94"/>
      <c r="O207" s="6"/>
    </row>
    <row r="208" spans="1:15" ht="15.6" x14ac:dyDescent="0.3">
      <c r="A208" s="26"/>
      <c r="B208" s="27" t="s">
        <v>189</v>
      </c>
      <c r="C208" s="27"/>
      <c r="D208" s="27"/>
      <c r="E208" s="27"/>
      <c r="F208" s="27"/>
      <c r="G208" s="27"/>
      <c r="H208" s="27"/>
      <c r="I208" s="37">
        <f>SUM(I199:I207)</f>
        <v>8932</v>
      </c>
      <c r="J208" s="136">
        <f>SUM(J199:J207)</f>
        <v>1</v>
      </c>
      <c r="K208" s="56">
        <f>SUM(K199:K207)</f>
        <v>206720</v>
      </c>
      <c r="L208" s="136">
        <f>SUM(L199:L207)</f>
        <v>1.0000000000000002</v>
      </c>
      <c r="M208" s="27"/>
      <c r="N208" s="27"/>
      <c r="O208" s="6"/>
    </row>
    <row r="209" spans="1:15" ht="15.6" x14ac:dyDescent="0.3">
      <c r="A209" s="26"/>
      <c r="B209" s="27" t="s">
        <v>191</v>
      </c>
      <c r="C209" s="27"/>
      <c r="D209" s="27"/>
      <c r="E209" s="27"/>
      <c r="F209" s="27"/>
      <c r="G209" s="27"/>
      <c r="H209" s="27"/>
      <c r="I209" s="37"/>
      <c r="J209" s="136"/>
      <c r="K209" s="56">
        <f>+M59</f>
        <v>262</v>
      </c>
      <c r="L209" s="136"/>
      <c r="M209" s="27"/>
      <c r="N209" s="27"/>
      <c r="O209" s="6"/>
    </row>
    <row r="210" spans="1:15" ht="15.6" x14ac:dyDescent="0.3">
      <c r="A210" s="26"/>
      <c r="B210" s="27" t="s">
        <v>144</v>
      </c>
      <c r="C210" s="27"/>
      <c r="D210" s="27"/>
      <c r="E210" s="27"/>
      <c r="F210" s="27"/>
      <c r="G210" s="27"/>
      <c r="H210" s="27"/>
      <c r="I210" s="37"/>
      <c r="J210" s="136"/>
      <c r="K210" s="56">
        <f>+K208+K209</f>
        <v>206982</v>
      </c>
      <c r="L210" s="136"/>
      <c r="M210" s="27"/>
      <c r="N210" s="27"/>
      <c r="O210" s="6"/>
    </row>
    <row r="211" spans="1:15" ht="15.6" x14ac:dyDescent="0.3">
      <c r="A211" s="26"/>
      <c r="B211" s="27"/>
      <c r="C211" s="27"/>
      <c r="D211" s="27"/>
      <c r="E211" s="27"/>
      <c r="F211" s="27"/>
      <c r="G211" s="27"/>
      <c r="H211" s="27"/>
      <c r="I211" s="37"/>
      <c r="J211" s="104"/>
      <c r="K211" s="56"/>
      <c r="L211" s="104"/>
      <c r="M211" s="27"/>
      <c r="N211" s="27"/>
      <c r="O211" s="6"/>
    </row>
    <row r="212" spans="1:15" ht="15.6" x14ac:dyDescent="0.3">
      <c r="A212" s="105"/>
      <c r="B212" s="16" t="s">
        <v>215</v>
      </c>
      <c r="C212" s="17"/>
      <c r="D212" s="17"/>
      <c r="E212" s="17"/>
      <c r="F212" s="19" t="s">
        <v>216</v>
      </c>
      <c r="G212" s="17"/>
      <c r="H212" s="16" t="s">
        <v>217</v>
      </c>
      <c r="I212" s="141"/>
      <c r="J212" s="141"/>
      <c r="K212" s="14"/>
      <c r="L212" s="14"/>
      <c r="M212" s="14"/>
      <c r="N212" s="14"/>
      <c r="O212" s="6"/>
    </row>
    <row r="213" spans="1:15" ht="15.6" x14ac:dyDescent="0.3">
      <c r="A213" s="105"/>
      <c r="B213" s="141"/>
      <c r="C213" s="9"/>
      <c r="D213" s="9"/>
      <c r="E213" s="9"/>
      <c r="F213" s="9"/>
      <c r="G213" s="9"/>
      <c r="H213" s="9"/>
      <c r="I213" s="141"/>
      <c r="J213" s="141"/>
      <c r="K213" s="14"/>
      <c r="L213" s="14"/>
      <c r="M213" s="14"/>
      <c r="N213" s="14"/>
      <c r="O213" s="6"/>
    </row>
    <row r="214" spans="1:15" ht="15.6" x14ac:dyDescent="0.3">
      <c r="A214" s="105"/>
      <c r="B214" s="15" t="s">
        <v>218</v>
      </c>
      <c r="C214" s="15"/>
      <c r="D214" s="15"/>
      <c r="E214" s="15"/>
      <c r="F214" s="158" t="s">
        <v>219</v>
      </c>
      <c r="G214" s="15"/>
      <c r="H214" s="15" t="s">
        <v>220</v>
      </c>
      <c r="I214" s="141"/>
      <c r="J214" s="141"/>
      <c r="K214" s="14"/>
      <c r="L214" s="14"/>
      <c r="M214" s="14"/>
      <c r="N214" s="14"/>
      <c r="O214" s="6"/>
    </row>
    <row r="215" spans="1:15" ht="15.6" x14ac:dyDescent="0.3">
      <c r="A215" s="105"/>
      <c r="B215" s="15" t="s">
        <v>221</v>
      </c>
      <c r="C215" s="15"/>
      <c r="D215" s="15"/>
      <c r="E215" s="15"/>
      <c r="F215" s="158" t="s">
        <v>222</v>
      </c>
      <c r="G215" s="15"/>
      <c r="H215" s="15" t="s">
        <v>223</v>
      </c>
      <c r="I215" s="141"/>
      <c r="J215" s="141"/>
      <c r="K215" s="14"/>
      <c r="L215" s="14"/>
      <c r="M215" s="14"/>
      <c r="N215" s="14"/>
      <c r="O215" s="6"/>
    </row>
    <row r="216" spans="1:15" ht="15.6" x14ac:dyDescent="0.3">
      <c r="A216" s="105"/>
      <c r="B216" s="15" t="s">
        <v>224</v>
      </c>
      <c r="C216" s="15"/>
      <c r="D216" s="15"/>
      <c r="E216" s="15"/>
      <c r="F216" s="158" t="s">
        <v>225</v>
      </c>
      <c r="G216" s="15"/>
      <c r="H216" s="15" t="s">
        <v>226</v>
      </c>
      <c r="I216" s="141"/>
      <c r="J216" s="141"/>
      <c r="K216" s="14"/>
      <c r="L216" s="14"/>
      <c r="M216" s="14"/>
      <c r="N216" s="14"/>
      <c r="O216" s="6"/>
    </row>
    <row r="217" spans="1:15" ht="15.6" x14ac:dyDescent="0.3">
      <c r="A217" s="105"/>
      <c r="B217" s="15"/>
      <c r="C217" s="106"/>
      <c r="D217" s="106"/>
      <c r="E217" s="107"/>
      <c r="F217" s="15"/>
      <c r="G217" s="15"/>
      <c r="H217" s="106"/>
      <c r="I217" s="106"/>
      <c r="J217" s="14"/>
      <c r="K217" s="14"/>
      <c r="L217" s="14"/>
      <c r="M217" s="14"/>
      <c r="N217" s="14"/>
      <c r="O217" s="6"/>
    </row>
    <row r="218" spans="1:15" ht="18" thickBot="1" x14ac:dyDescent="0.35">
      <c r="A218" s="105"/>
      <c r="B218" s="52" t="str">
        <f>B166</f>
        <v>PSF1 INVESTOR REPORT QUARTER ENDING APRIL 2005</v>
      </c>
      <c r="C218" s="106"/>
      <c r="D218" s="106"/>
      <c r="E218" s="107"/>
      <c r="F218" s="15"/>
      <c r="G218" s="15"/>
      <c r="H218" s="106"/>
      <c r="I218" s="106"/>
      <c r="J218" s="14"/>
      <c r="K218" s="14"/>
      <c r="L218" s="14"/>
      <c r="M218" s="14"/>
      <c r="N218" s="14"/>
      <c r="O218" s="6"/>
    </row>
    <row r="219" spans="1:15" x14ac:dyDescent="0.25">
      <c r="A219" s="108"/>
      <c r="B219" s="108"/>
      <c r="C219" s="108"/>
      <c r="D219" s="108"/>
      <c r="E219" s="108"/>
      <c r="F219" s="108"/>
      <c r="G219" s="108"/>
      <c r="H219" s="108"/>
      <c r="I219" s="108"/>
      <c r="J219" s="108"/>
      <c r="K219" s="108"/>
      <c r="L219" s="108"/>
      <c r="M219" s="108"/>
      <c r="N219" s="108"/>
    </row>
    <row r="221" spans="1:15" x14ac:dyDescent="0.25">
      <c r="I221" s="117"/>
    </row>
  </sheetData>
  <phoneticPr fontId="0" type="noConversion"/>
  <printOptions horizontalCentered="1" verticalCentered="1"/>
  <pageMargins left="0.51181102362204722" right="0.51181102362204722" top="0.51181102362204722" bottom="0.51181102362204722" header="0" footer="0"/>
  <pageSetup scale="47" orientation="landscape" r:id="rId1"/>
  <headerFooter alignWithMargins="0"/>
  <rowBreaks count="3" manualBreakCount="3">
    <brk id="53" max="14" man="1"/>
    <brk id="112" max="14" man="1"/>
    <brk id="166"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39311</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5.9540000000000003E-2</v>
      </c>
      <c r="D36" s="27"/>
      <c r="E36" s="41">
        <v>6.5040000000000001E-2</v>
      </c>
      <c r="F36" s="42"/>
      <c r="G36" s="41">
        <v>6.7540000000000003E-2</v>
      </c>
      <c r="H36" s="42"/>
      <c r="I36" s="41"/>
      <c r="J36" s="42"/>
      <c r="K36" s="41"/>
      <c r="L36" s="142"/>
      <c r="M36" s="42">
        <f>SUMPRODUCT(C36:G36,C31:G31)/M31</f>
        <v>6.1030000000000001E-2</v>
      </c>
      <c r="N36" s="27"/>
      <c r="O36" s="6"/>
    </row>
    <row r="37" spans="1:15" ht="15.6" x14ac:dyDescent="0.3">
      <c r="A37" s="26"/>
      <c r="B37" s="27" t="s">
        <v>19</v>
      </c>
      <c r="C37" s="41">
        <v>5.7356299999999999E-2</v>
      </c>
      <c r="D37" s="27"/>
      <c r="E37" s="41">
        <v>6.2856300000000004E-2</v>
      </c>
      <c r="F37" s="42"/>
      <c r="G37" s="41">
        <v>6.5356300000000006E-2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39309</v>
      </c>
      <c r="N47" s="27"/>
      <c r="O47" s="6"/>
    </row>
    <row r="48" spans="1:15" ht="15.6" x14ac:dyDescent="0.3">
      <c r="A48" s="26"/>
      <c r="B48" s="27" t="s">
        <v>26</v>
      </c>
      <c r="C48" s="27"/>
      <c r="D48" s="27"/>
      <c r="E48" s="27"/>
      <c r="F48" s="27"/>
      <c r="G48" s="27"/>
      <c r="H48" s="27"/>
      <c r="I48" s="27"/>
      <c r="J48" s="27">
        <f>M48-K48+1</f>
        <v>89</v>
      </c>
      <c r="K48" s="48">
        <v>39128</v>
      </c>
      <c r="L48" s="49"/>
      <c r="M48" s="48">
        <v>39216</v>
      </c>
      <c r="N48" s="27"/>
      <c r="O48" s="6"/>
    </row>
    <row r="49" spans="1:15" ht="15.6" x14ac:dyDescent="0.3">
      <c r="A49" s="26"/>
      <c r="B49" s="27" t="s">
        <v>27</v>
      </c>
      <c r="C49" s="27"/>
      <c r="D49" s="27"/>
      <c r="E49" s="27"/>
      <c r="F49" s="27"/>
      <c r="G49" s="27"/>
      <c r="H49" s="27"/>
      <c r="I49" s="27"/>
      <c r="J49" s="27">
        <f>M49-K49+1</f>
        <v>92</v>
      </c>
      <c r="K49" s="48">
        <v>39217</v>
      </c>
      <c r="L49" s="49"/>
      <c r="M49" s="48">
        <v>39308</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39295</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214</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260967</v>
      </c>
      <c r="F59" s="37"/>
      <c r="G59" s="37">
        <f>30556+2921+757+354+25</f>
        <v>34613</v>
      </c>
      <c r="H59" s="37"/>
      <c r="I59" s="37">
        <f>20616+657</f>
        <v>21273</v>
      </c>
      <c r="J59" s="37"/>
      <c r="K59" s="37">
        <v>0</v>
      </c>
      <c r="L59" s="37"/>
      <c r="M59" s="56">
        <f>E59-G59+I59-K59</f>
        <v>247627</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260967</v>
      </c>
      <c r="F63" s="37"/>
      <c r="G63" s="37">
        <f>SUM(G59:G62)</f>
        <v>34613</v>
      </c>
      <c r="H63" s="37"/>
      <c r="I63" s="37">
        <f>SUM(I59:I62)</f>
        <v>21273</v>
      </c>
      <c r="J63" s="37"/>
      <c r="K63" s="37">
        <f>SUM(K59:K62)</f>
        <v>0</v>
      </c>
      <c r="L63" s="37"/>
      <c r="M63" s="57">
        <f>SUM(M59:M62)</f>
        <v>247627</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39033</v>
      </c>
      <c r="F74" s="37"/>
      <c r="G74" s="37"/>
      <c r="H74" s="37"/>
      <c r="I74" s="37"/>
      <c r="J74" s="37"/>
      <c r="K74" s="37"/>
      <c r="L74" s="37"/>
      <c r="M74" s="57">
        <f>K112-M73</f>
        <v>52373</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39294</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+'April 2007'!K112</f>
        <v>39033</v>
      </c>
      <c r="L80" s="27"/>
      <c r="M80" s="56">
        <v>0</v>
      </c>
      <c r="N80" s="27"/>
      <c r="O80" s="6"/>
    </row>
    <row r="81" spans="1:16" ht="15.6" x14ac:dyDescent="0.3">
      <c r="A81" s="26"/>
      <c r="B81" s="27" t="s">
        <v>42</v>
      </c>
      <c r="C81" s="43" t="s">
        <v>207</v>
      </c>
      <c r="D81" s="60" t="s">
        <v>207</v>
      </c>
      <c r="E81" s="61"/>
      <c r="F81" s="27"/>
      <c r="G81" s="27"/>
      <c r="H81" s="27"/>
      <c r="I81" s="27"/>
      <c r="J81" s="27"/>
      <c r="K81" s="37">
        <f>34613-757</f>
        <v>33856</v>
      </c>
      <c r="L81" s="27"/>
      <c r="M81" s="56"/>
      <c r="N81" s="27"/>
      <c r="O81" s="6"/>
    </row>
    <row r="82" spans="1:16" ht="15.6" x14ac:dyDescent="0.3">
      <c r="A82" s="26"/>
      <c r="B82" s="27" t="s">
        <v>204</v>
      </c>
      <c r="C82" s="43"/>
      <c r="D82" s="60"/>
      <c r="E82" s="61"/>
      <c r="F82" s="27"/>
      <c r="G82" s="27"/>
      <c r="H82" s="27"/>
      <c r="I82" s="27"/>
      <c r="J82" s="27"/>
      <c r="K82" s="37"/>
      <c r="L82" s="27"/>
      <c r="M82" s="56">
        <f>8404-2909</f>
        <v>5495</v>
      </c>
      <c r="N82" s="27"/>
      <c r="O82" s="6"/>
    </row>
    <row r="83" spans="1:16" ht="15.6" x14ac:dyDescent="0.3">
      <c r="A83" s="26"/>
      <c r="B83" s="27" t="s">
        <v>205</v>
      </c>
      <c r="C83" s="43"/>
      <c r="D83" s="60"/>
      <c r="E83" s="61"/>
      <c r="F83" s="27"/>
      <c r="G83" s="27"/>
      <c r="H83" s="27"/>
      <c r="I83" s="27"/>
      <c r="J83" s="27"/>
      <c r="K83" s="37"/>
      <c r="L83" s="27"/>
      <c r="M83" s="56">
        <v>2187</v>
      </c>
      <c r="N83" s="27"/>
      <c r="O83" s="6"/>
    </row>
    <row r="84" spans="1:16" ht="15.6" x14ac:dyDescent="0.3">
      <c r="A84" s="26"/>
      <c r="B84" s="27" t="s">
        <v>206</v>
      </c>
      <c r="C84" s="43"/>
      <c r="D84" s="60"/>
      <c r="E84" s="61"/>
      <c r="F84" s="27"/>
      <c r="G84" s="27"/>
      <c r="H84" s="27"/>
      <c r="I84" s="27"/>
      <c r="J84" s="27"/>
      <c r="K84" s="37"/>
      <c r="L84" s="27"/>
      <c r="M84" s="56">
        <v>929</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72889</v>
      </c>
      <c r="L86" s="27"/>
      <c r="M86" s="57">
        <f>SUM(M80:M85)</f>
        <v>8611</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72889</v>
      </c>
      <c r="L88" s="27"/>
      <c r="M88" s="57">
        <f>M86+M87</f>
        <v>8611</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-74</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-100-85-4</f>
        <v>-189</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-3467</v>
      </c>
      <c r="N94" s="27"/>
      <c r="O94" s="6"/>
    </row>
    <row r="95" spans="1:16" ht="15.6" x14ac:dyDescent="0.3">
      <c r="A95" s="26">
        <v>5</v>
      </c>
      <c r="B95" s="27" t="s">
        <v>52</v>
      </c>
      <c r="C95" s="27"/>
      <c r="D95" s="27"/>
      <c r="E95" s="27"/>
      <c r="F95" s="27"/>
      <c r="G95" s="27"/>
      <c r="H95" s="27"/>
      <c r="I95" s="27"/>
      <c r="J95" s="27"/>
      <c r="K95" s="27"/>
      <c r="L95" s="27"/>
      <c r="M95" s="56">
        <v>-688</v>
      </c>
      <c r="N95" s="27"/>
      <c r="O95" s="6"/>
    </row>
    <row r="96" spans="1:16" ht="15.6" x14ac:dyDescent="0.3">
      <c r="A96" s="26">
        <v>6</v>
      </c>
      <c r="B96" s="27" t="s">
        <v>172</v>
      </c>
      <c r="C96" s="27"/>
      <c r="D96" s="27"/>
      <c r="E96" s="27"/>
      <c r="F96" s="27"/>
      <c r="G96" s="27"/>
      <c r="H96" s="27"/>
      <c r="I96" s="27"/>
      <c r="J96" s="27"/>
      <c r="K96" s="27"/>
      <c r="L96" s="27"/>
      <c r="M96" s="56">
        <v>-460</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757</v>
      </c>
      <c r="L98" s="27"/>
      <c r="M98" s="56">
        <v>-757</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-100</v>
      </c>
      <c r="N102" s="27"/>
      <c r="O102" s="6"/>
    </row>
    <row r="103" spans="1:16" ht="15.6" x14ac:dyDescent="0.3">
      <c r="A103" s="26">
        <v>13</v>
      </c>
      <c r="B103" s="27" t="s">
        <v>195</v>
      </c>
      <c r="C103" s="27"/>
      <c r="D103" s="27"/>
      <c r="E103" s="27"/>
      <c r="F103" s="27"/>
      <c r="G103" s="27"/>
      <c r="H103" s="27"/>
      <c r="I103" s="27"/>
      <c r="J103" s="27"/>
      <c r="K103" s="27"/>
      <c r="L103" s="27"/>
      <c r="M103" s="56">
        <f>-M88-SUM(M90:M102)</f>
        <v>-2869</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-657</v>
      </c>
      <c r="L106" s="37"/>
      <c r="M106" s="56"/>
      <c r="N106" s="27"/>
      <c r="O106" s="6"/>
      <c r="P106" s="117"/>
    </row>
    <row r="107" spans="1:16" ht="15.6" x14ac:dyDescent="0.3">
      <c r="A107" s="26"/>
      <c r="B107" s="27" t="s">
        <v>187</v>
      </c>
      <c r="C107" s="27"/>
      <c r="D107" s="27"/>
      <c r="E107" s="27"/>
      <c r="F107" s="27"/>
      <c r="G107" s="27"/>
      <c r="H107" s="27"/>
      <c r="I107" s="27"/>
      <c r="J107" s="27"/>
      <c r="K107" s="37">
        <v>-20616</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-21273</v>
      </c>
      <c r="L111" s="37"/>
      <c r="M111" s="37">
        <f>SUM(M89:M110)</f>
        <v>-8611</v>
      </c>
      <c r="N111" s="27"/>
      <c r="O111" s="6"/>
    </row>
    <row r="112" spans="1:16" ht="15.6" x14ac:dyDescent="0.3">
      <c r="A112" s="26"/>
      <c r="B112" s="27" t="s">
        <v>61</v>
      </c>
      <c r="C112" s="27"/>
      <c r="D112" s="27"/>
      <c r="E112" s="27"/>
      <c r="F112" s="27"/>
      <c r="G112" s="27"/>
      <c r="H112" s="27"/>
      <c r="I112" s="27"/>
      <c r="J112" s="27"/>
      <c r="K112" s="37">
        <f>K88+K111+K98</f>
        <v>52373</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JULY 2007</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-171</v>
      </c>
      <c r="N138" s="27"/>
      <c r="O138" s="6"/>
    </row>
    <row r="139" spans="1:15" ht="15.6" x14ac:dyDescent="0.3">
      <c r="A139" s="26"/>
      <c r="B139" s="27" t="s">
        <v>180</v>
      </c>
      <c r="C139" s="27"/>
      <c r="D139" s="27"/>
      <c r="E139" s="27"/>
      <c r="F139" s="27"/>
      <c r="G139" s="27"/>
      <c r="H139" s="27"/>
      <c r="I139" s="27"/>
      <c r="J139" s="27"/>
      <c r="K139" s="27"/>
      <c r="L139" s="27"/>
      <c r="M139" s="56">
        <v>928</v>
      </c>
      <c r="N139" s="27"/>
      <c r="O139" s="6"/>
    </row>
    <row r="140" spans="1:15" ht="15.6" x14ac:dyDescent="0.3">
      <c r="A140" s="26"/>
      <c r="B140" s="27" t="s">
        <v>77</v>
      </c>
      <c r="C140" s="27"/>
      <c r="D140" s="27"/>
      <c r="E140" s="27"/>
      <c r="F140" s="27"/>
      <c r="G140" s="27"/>
      <c r="H140" s="27"/>
      <c r="I140" s="27"/>
      <c r="J140" s="27"/>
      <c r="K140" s="27"/>
      <c r="L140" s="27"/>
      <c r="M140" s="56">
        <f>M138+M137+M139</f>
        <v>757</v>
      </c>
      <c r="N140" s="27"/>
      <c r="O140" s="6"/>
    </row>
    <row r="141" spans="1:15" ht="15.6" x14ac:dyDescent="0.3">
      <c r="A141" s="26"/>
      <c r="B141" s="27" t="s">
        <v>183</v>
      </c>
      <c r="C141" s="27"/>
      <c r="D141" s="27"/>
      <c r="E141" s="27"/>
      <c r="F141" s="27"/>
      <c r="G141" s="27"/>
      <c r="H141" s="27"/>
      <c r="I141" s="70"/>
      <c r="J141" s="27"/>
      <c r="K141" s="27"/>
      <c r="L141" s="27"/>
      <c r="M141" s="56">
        <f>M98</f>
        <v>-757</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+'April 2007'!I155</f>
        <v>4175</v>
      </c>
      <c r="J153" s="27"/>
      <c r="K153" s="56">
        <v>0</v>
      </c>
      <c r="L153" s="27"/>
      <c r="M153" s="56">
        <f>K153+I153</f>
        <v>4175</v>
      </c>
      <c r="N153" s="27"/>
      <c r="O153" s="6"/>
    </row>
    <row r="154" spans="1:16" ht="15.6" x14ac:dyDescent="0.3">
      <c r="A154" s="26"/>
      <c r="B154" s="27" t="s">
        <v>84</v>
      </c>
      <c r="C154" s="27"/>
      <c r="D154" s="27"/>
      <c r="E154" s="27"/>
      <c r="F154" s="27"/>
      <c r="G154" s="27"/>
      <c r="H154" s="27"/>
      <c r="I154" s="37">
        <v>657</v>
      </c>
      <c r="J154" s="27"/>
      <c r="K154" s="27">
        <v>0</v>
      </c>
      <c r="L154" s="27"/>
      <c r="M154" s="56">
        <f>K154+I154</f>
        <v>657</v>
      </c>
      <c r="N154" s="27"/>
      <c r="O154" s="6"/>
    </row>
    <row r="155" spans="1:16" ht="15.6" x14ac:dyDescent="0.3">
      <c r="A155" s="26"/>
      <c r="B155" s="27" t="s">
        <v>85</v>
      </c>
      <c r="C155" s="27"/>
      <c r="D155" s="27"/>
      <c r="E155" s="27"/>
      <c r="F155" s="27"/>
      <c r="G155" s="27"/>
      <c r="H155" s="27"/>
      <c r="I155" s="56">
        <f>I153+I154</f>
        <v>4832</v>
      </c>
      <c r="J155" s="27"/>
      <c r="K155" s="56">
        <f>K154+K153</f>
        <v>0</v>
      </c>
      <c r="L155" s="27"/>
      <c r="M155" s="56">
        <f>K155+I155</f>
        <v>4832</v>
      </c>
      <c r="N155" s="27"/>
      <c r="O155" s="6"/>
    </row>
    <row r="156" spans="1:16" ht="15.6" x14ac:dyDescent="0.3">
      <c r="A156" s="26"/>
      <c r="B156" s="27" t="s">
        <v>86</v>
      </c>
      <c r="C156" s="27"/>
      <c r="D156" s="27"/>
      <c r="E156" s="27"/>
      <c r="F156" s="27"/>
      <c r="G156" s="27"/>
      <c r="H156" s="27"/>
      <c r="I156" s="56">
        <f>I152-I155-K155</f>
        <v>10168</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2.4072685318719356</v>
      </c>
      <c r="N160" s="27" t="s">
        <v>145</v>
      </c>
      <c r="O160" s="6"/>
    </row>
    <row r="161" spans="1:15" ht="15.6" x14ac:dyDescent="0.3">
      <c r="A161" s="26"/>
      <c r="B161" s="27" t="s">
        <v>89</v>
      </c>
      <c r="C161" s="27"/>
      <c r="D161" s="27"/>
      <c r="E161" s="27"/>
      <c r="F161" s="27"/>
      <c r="G161" s="27"/>
      <c r="H161" s="27"/>
      <c r="I161" s="27"/>
      <c r="J161" s="27"/>
      <c r="K161" s="27"/>
      <c r="L161" s="27"/>
      <c r="M161" s="73">
        <v>2.5099999999999998</v>
      </c>
      <c r="N161" s="27" t="s">
        <v>145</v>
      </c>
      <c r="O161" s="6"/>
    </row>
    <row r="162" spans="1:15" ht="15.6" x14ac:dyDescent="0.3">
      <c r="A162" s="26"/>
      <c r="B162" s="27" t="s">
        <v>90</v>
      </c>
      <c r="C162" s="27"/>
      <c r="D162" s="27"/>
      <c r="E162" s="27"/>
      <c r="F162" s="27"/>
      <c r="G162" s="27"/>
      <c r="H162" s="27"/>
      <c r="I162" s="27"/>
      <c r="J162" s="27"/>
      <c r="K162" s="27"/>
      <c r="L162" s="27"/>
      <c r="M162" s="63">
        <f>(M88+M90+M91+M92+M93+M94)/-M95</f>
        <v>7.0915697674418601</v>
      </c>
      <c r="N162" s="27" t="s">
        <v>145</v>
      </c>
      <c r="O162" s="6"/>
    </row>
    <row r="163" spans="1:15" ht="15.6" x14ac:dyDescent="0.3">
      <c r="A163" s="26"/>
      <c r="B163" s="27" t="s">
        <v>91</v>
      </c>
      <c r="C163" s="27"/>
      <c r="D163" s="27"/>
      <c r="E163" s="27"/>
      <c r="F163" s="27"/>
      <c r="G163" s="27"/>
      <c r="H163" s="27"/>
      <c r="I163" s="27"/>
      <c r="J163" s="27"/>
      <c r="K163" s="27"/>
      <c r="L163" s="27"/>
      <c r="M163" s="74">
        <v>7.51</v>
      </c>
      <c r="N163" s="27" t="s">
        <v>145</v>
      </c>
      <c r="O163" s="6"/>
    </row>
    <row r="164" spans="1:15" ht="15.6" x14ac:dyDescent="0.3">
      <c r="A164" s="26"/>
      <c r="B164" s="27" t="s">
        <v>181</v>
      </c>
      <c r="C164" s="27"/>
      <c r="D164" s="27"/>
      <c r="E164" s="27"/>
      <c r="F164" s="27"/>
      <c r="G164" s="27"/>
      <c r="H164" s="27"/>
      <c r="I164" s="27"/>
      <c r="J164" s="27"/>
      <c r="K164" s="27"/>
      <c r="L164" s="27"/>
      <c r="M164" s="63">
        <f>(M88+M90+M91+M92+M93+M94+M95)/-M96</f>
        <v>9.1108695652173921</v>
      </c>
      <c r="N164" s="27" t="s">
        <v>145</v>
      </c>
      <c r="O164" s="6"/>
    </row>
    <row r="165" spans="1:15" ht="15.6" x14ac:dyDescent="0.3">
      <c r="A165" s="26"/>
      <c r="B165" s="27" t="s">
        <v>182</v>
      </c>
      <c r="C165" s="27"/>
      <c r="D165" s="27"/>
      <c r="E165" s="27"/>
      <c r="F165" s="27"/>
      <c r="G165" s="27"/>
      <c r="H165" s="27"/>
      <c r="I165" s="27"/>
      <c r="J165" s="27"/>
      <c r="K165" s="27"/>
      <c r="L165" s="27"/>
      <c r="M165" s="74">
        <v>9.7100000000000009</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JULY 2007</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39294</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9.4799999999999995E-2</v>
      </c>
      <c r="L175" s="27"/>
      <c r="M175" s="27"/>
      <c r="N175" s="27"/>
      <c r="O175" s="6"/>
    </row>
    <row r="176" spans="1:15" ht="15.6" x14ac:dyDescent="0.3">
      <c r="A176" s="83"/>
      <c r="B176" s="84" t="s">
        <v>97</v>
      </c>
      <c r="C176" s="85"/>
      <c r="D176" s="85"/>
      <c r="E176" s="85"/>
      <c r="F176" s="85"/>
      <c r="G176" s="85"/>
      <c r="H176" s="70"/>
      <c r="I176" s="70"/>
      <c r="J176" s="70"/>
      <c r="K176" s="86">
        <f>M36</f>
        <v>6.1030000000000001E-2</v>
      </c>
      <c r="L176" s="27"/>
      <c r="M176" s="27"/>
      <c r="N176" s="27"/>
      <c r="O176" s="6"/>
    </row>
    <row r="177" spans="1:15" ht="15.6" x14ac:dyDescent="0.3">
      <c r="A177" s="83"/>
      <c r="B177" s="84" t="s">
        <v>98</v>
      </c>
      <c r="C177" s="85"/>
      <c r="D177" s="85"/>
      <c r="E177" s="85"/>
      <c r="F177" s="85"/>
      <c r="G177" s="85"/>
      <c r="H177" s="70"/>
      <c r="I177" s="70"/>
      <c r="J177" s="70"/>
      <c r="K177" s="86">
        <f>K175-K176</f>
        <v>3.3769999999999994E-2</v>
      </c>
      <c r="L177" s="27"/>
      <c r="M177" s="27"/>
      <c r="N177" s="27"/>
      <c r="O177" s="6"/>
    </row>
    <row r="178" spans="1:15" ht="15.6" x14ac:dyDescent="0.3">
      <c r="A178" s="83"/>
      <c r="B178" s="84" t="s">
        <v>211</v>
      </c>
      <c r="C178" s="85"/>
      <c r="D178" s="85"/>
      <c r="E178" s="85"/>
      <c r="F178" s="85"/>
      <c r="G178" s="85"/>
      <c r="H178" s="70"/>
      <c r="I178" s="70"/>
      <c r="J178" s="70"/>
      <c r="K178" s="86">
        <f>(+M88+M90)/E59</f>
        <v>3.2712948380446569E-2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15.66</v>
      </c>
      <c r="L183" s="27" t="s">
        <v>139</v>
      </c>
      <c r="M183" s="27"/>
      <c r="N183" s="27"/>
      <c r="O183" s="6"/>
    </row>
    <row r="184" spans="1:15" ht="15.6" x14ac:dyDescent="0.3">
      <c r="A184" s="83"/>
      <c r="B184" s="84" t="s">
        <v>103</v>
      </c>
      <c r="C184" s="85"/>
      <c r="D184" s="85"/>
      <c r="E184" s="85"/>
      <c r="F184" s="85"/>
      <c r="G184" s="85"/>
      <c r="H184" s="70"/>
      <c r="I184" s="70"/>
      <c r="J184" s="70"/>
      <c r="K184" s="138">
        <f>K81/E59</f>
        <v>0.12973287810336173</v>
      </c>
      <c r="L184" s="27"/>
      <c r="M184" s="27"/>
      <c r="N184" s="27"/>
      <c r="O184" s="6"/>
    </row>
    <row r="185" spans="1:15" ht="15.6" x14ac:dyDescent="0.3">
      <c r="A185" s="83"/>
      <c r="B185" s="84" t="s">
        <v>104</v>
      </c>
      <c r="C185" s="85"/>
      <c r="D185" s="85"/>
      <c r="E185" s="85"/>
      <c r="F185" s="85"/>
      <c r="G185" s="85"/>
      <c r="H185" s="70"/>
      <c r="I185" s="70"/>
      <c r="J185" s="70"/>
      <c r="K185" s="86">
        <v>0.39489999999999997</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632</v>
      </c>
      <c r="K188" s="93">
        <v>18937</v>
      </c>
      <c r="L188" s="27"/>
      <c r="M188" s="87"/>
      <c r="N188" s="94"/>
      <c r="O188" s="6"/>
    </row>
    <row r="189" spans="1:15" ht="15.6" x14ac:dyDescent="0.3">
      <c r="A189" s="92"/>
      <c r="B189" s="84" t="s">
        <v>196</v>
      </c>
      <c r="C189" s="57"/>
      <c r="D189" s="57"/>
      <c r="E189" s="57"/>
      <c r="F189" s="57"/>
      <c r="G189" s="27"/>
      <c r="H189" s="27"/>
      <c r="I189" s="27"/>
      <c r="J189" s="33">
        <v>14</v>
      </c>
      <c r="K189" s="93">
        <v>359</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21273</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757</v>
      </c>
      <c r="L193" s="27"/>
      <c r="M193" s="87"/>
      <c r="N193" s="96"/>
      <c r="O193" s="6"/>
    </row>
    <row r="194" spans="1:15" ht="15.6" x14ac:dyDescent="0.3">
      <c r="A194" s="92"/>
      <c r="B194" s="84" t="s">
        <v>111</v>
      </c>
      <c r="C194" s="57"/>
      <c r="D194" s="57"/>
      <c r="E194" s="57"/>
      <c r="F194" s="57"/>
      <c r="G194" s="57"/>
      <c r="H194" s="27"/>
      <c r="I194" s="27"/>
      <c r="J194" s="27"/>
      <c r="K194" s="93">
        <f>'April 2007'!K194+'July 2007'!K193</f>
        <v>5861</v>
      </c>
      <c r="L194" s="27"/>
      <c r="M194" s="87"/>
      <c r="N194" s="96"/>
      <c r="O194" s="6"/>
    </row>
    <row r="195" spans="1:15" ht="15.6" x14ac:dyDescent="0.3">
      <c r="A195" s="92"/>
      <c r="B195" s="84" t="s">
        <v>112</v>
      </c>
      <c r="C195" s="57"/>
      <c r="D195" s="57"/>
      <c r="E195" s="57"/>
      <c r="F195" s="57"/>
      <c r="G195" s="57"/>
      <c r="H195" s="27"/>
      <c r="I195" s="27"/>
      <c r="J195" s="27"/>
      <c r="K195" s="157">
        <f>+'April 2007'!K195+623</f>
        <v>2572</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15</v>
      </c>
      <c r="L197" s="27"/>
      <c r="M197" s="87"/>
      <c r="N197" s="96"/>
      <c r="O197" s="6"/>
    </row>
    <row r="198" spans="1:15" ht="15.6" x14ac:dyDescent="0.3">
      <c r="A198" s="92"/>
      <c r="B198" s="84" t="s">
        <v>113</v>
      </c>
      <c r="C198" s="57"/>
      <c r="D198" s="57"/>
      <c r="E198" s="97"/>
      <c r="F198" s="97"/>
      <c r="G198" s="98"/>
      <c r="H198" s="27"/>
      <c r="I198" s="27"/>
      <c r="J198" s="27"/>
      <c r="K198" s="68">
        <v>10.4</v>
      </c>
      <c r="L198" s="27"/>
      <c r="M198" s="87"/>
      <c r="N198" s="96"/>
      <c r="O198" s="6"/>
    </row>
    <row r="199" spans="1:15" ht="15.6" x14ac:dyDescent="0.3">
      <c r="A199" s="92"/>
      <c r="B199" s="84" t="s">
        <v>114</v>
      </c>
      <c r="C199" s="57"/>
      <c r="D199" s="57"/>
      <c r="E199" s="97"/>
      <c r="F199" s="97"/>
      <c r="G199" s="98"/>
      <c r="H199" s="27"/>
      <c r="I199" s="27"/>
      <c r="J199" s="27"/>
      <c r="K199" s="68">
        <v>4.93</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8272</v>
      </c>
      <c r="J204" s="103">
        <f>I204/I213</f>
        <v>0.92902066486972146</v>
      </c>
      <c r="K204" s="56">
        <v>228690</v>
      </c>
      <c r="L204" s="136">
        <f>K204/K213</f>
        <v>0.92352610983454952</v>
      </c>
      <c r="M204" s="87"/>
      <c r="N204" s="96"/>
      <c r="O204" s="6"/>
    </row>
    <row r="205" spans="1:15" ht="15.6" x14ac:dyDescent="0.3">
      <c r="A205" s="26"/>
      <c r="B205" s="57" t="s">
        <v>117</v>
      </c>
      <c r="C205" s="102"/>
      <c r="D205" s="102"/>
      <c r="E205" s="57"/>
      <c r="F205" s="102"/>
      <c r="G205" s="27"/>
      <c r="H205" s="103"/>
      <c r="I205" s="57">
        <v>183</v>
      </c>
      <c r="J205" s="103">
        <f>I205/I213</f>
        <v>2.055256064690027E-2</v>
      </c>
      <c r="K205" s="56">
        <v>5443</v>
      </c>
      <c r="L205" s="136">
        <f>K205/K213</f>
        <v>2.1980640237130845E-2</v>
      </c>
      <c r="M205" s="87"/>
      <c r="N205" s="96"/>
      <c r="O205" s="6"/>
    </row>
    <row r="206" spans="1:15" ht="15.6" x14ac:dyDescent="0.3">
      <c r="A206" s="26"/>
      <c r="B206" s="57" t="s">
        <v>118</v>
      </c>
      <c r="C206" s="102"/>
      <c r="D206" s="102"/>
      <c r="E206" s="57"/>
      <c r="F206" s="102"/>
      <c r="G206" s="27"/>
      <c r="H206" s="103"/>
      <c r="I206" s="57">
        <v>102</v>
      </c>
      <c r="J206" s="103">
        <f>I206/I213</f>
        <v>1.1455525606469003E-2</v>
      </c>
      <c r="K206" s="56">
        <v>2861</v>
      </c>
      <c r="L206" s="136">
        <f>K206/K213</f>
        <v>1.1553667411065838E-2</v>
      </c>
      <c r="M206" s="87"/>
      <c r="N206" s="96"/>
      <c r="O206" s="6"/>
    </row>
    <row r="207" spans="1:15" ht="15.6" x14ac:dyDescent="0.3">
      <c r="A207" s="26"/>
      <c r="B207" s="57" t="s">
        <v>167</v>
      </c>
      <c r="C207" s="102"/>
      <c r="D207" s="102"/>
      <c r="E207" s="57"/>
      <c r="F207" s="102"/>
      <c r="G207" s="27"/>
      <c r="H207" s="103"/>
      <c r="I207" s="57">
        <v>82</v>
      </c>
      <c r="J207" s="103">
        <f>I207/I213</f>
        <v>9.2093441150044916E-3</v>
      </c>
      <c r="K207" s="56">
        <v>2535</v>
      </c>
      <c r="L207" s="136">
        <f>K207/K213</f>
        <v>1.0237171229308598E-2</v>
      </c>
      <c r="M207" s="87"/>
      <c r="N207" s="96"/>
      <c r="O207" s="6"/>
    </row>
    <row r="208" spans="1:15" ht="15.6" x14ac:dyDescent="0.3">
      <c r="A208" s="26"/>
      <c r="B208" s="57" t="s">
        <v>168</v>
      </c>
      <c r="C208" s="102"/>
      <c r="D208" s="102"/>
      <c r="E208" s="57"/>
      <c r="F208" s="102"/>
      <c r="G208" s="27"/>
      <c r="H208" s="103"/>
      <c r="I208" s="57">
        <v>56</v>
      </c>
      <c r="J208" s="103">
        <f>I208/I213</f>
        <v>6.2893081761006293E-3</v>
      </c>
      <c r="K208" s="56">
        <v>1631</v>
      </c>
      <c r="L208" s="136">
        <f>K208/K213</f>
        <v>6.5865192406320801E-3</v>
      </c>
      <c r="M208" s="87"/>
      <c r="N208" s="96"/>
      <c r="O208" s="6"/>
    </row>
    <row r="209" spans="1:15" ht="15.6" x14ac:dyDescent="0.3">
      <c r="A209" s="26"/>
      <c r="B209" s="57" t="s">
        <v>169</v>
      </c>
      <c r="C209" s="102"/>
      <c r="D209" s="102"/>
      <c r="E209" s="57"/>
      <c r="F209" s="102"/>
      <c r="G209" s="27"/>
      <c r="H209" s="103"/>
      <c r="I209" s="57">
        <v>41</v>
      </c>
      <c r="J209" s="103">
        <f>I209/I213</f>
        <v>4.6046720575022458E-3</v>
      </c>
      <c r="K209" s="56">
        <v>1366</v>
      </c>
      <c r="L209" s="136">
        <f>K209/K213</f>
        <v>5.5163613014735874E-3</v>
      </c>
      <c r="M209" s="87"/>
      <c r="N209" s="96"/>
      <c r="O209" s="6"/>
    </row>
    <row r="210" spans="1:15" ht="15.6" x14ac:dyDescent="0.3">
      <c r="A210" s="26"/>
      <c r="B210" s="57" t="s">
        <v>176</v>
      </c>
      <c r="C210" s="102"/>
      <c r="D210" s="102"/>
      <c r="E210" s="57"/>
      <c r="F210" s="102"/>
      <c r="G210" s="27"/>
      <c r="H210" s="103"/>
      <c r="I210" s="57">
        <v>117</v>
      </c>
      <c r="J210" s="103">
        <f>I210/I213</f>
        <v>1.3140161725067386E-2</v>
      </c>
      <c r="K210" s="56">
        <v>3575</v>
      </c>
      <c r="L210" s="136">
        <f>K210/K213</f>
        <v>1.4437036349024945E-2</v>
      </c>
      <c r="M210" s="87"/>
      <c r="N210" s="94"/>
      <c r="O210" s="6"/>
    </row>
    <row r="211" spans="1:15" ht="15.6" x14ac:dyDescent="0.3">
      <c r="A211" s="26"/>
      <c r="B211" s="57" t="s">
        <v>202</v>
      </c>
      <c r="C211" s="102"/>
      <c r="D211" s="102"/>
      <c r="E211" s="57"/>
      <c r="F211" s="102"/>
      <c r="G211" s="27"/>
      <c r="H211" s="103"/>
      <c r="I211" s="57">
        <v>51</v>
      </c>
      <c r="J211" s="103">
        <f>+I211/I213</f>
        <v>5.7277628032345014E-3</v>
      </c>
      <c r="K211" s="56">
        <v>1526</v>
      </c>
      <c r="L211" s="136">
        <f>+K211/K213</f>
        <v>6.162494396814564E-3</v>
      </c>
      <c r="M211" s="87"/>
      <c r="N211" s="94"/>
      <c r="O211" s="6"/>
    </row>
    <row r="212" spans="1:15" ht="15.6" x14ac:dyDescent="0.3">
      <c r="A212" s="26"/>
      <c r="B212" s="57" t="s">
        <v>170</v>
      </c>
      <c r="C212" s="102"/>
      <c r="D212" s="102"/>
      <c r="E212" s="57"/>
      <c r="F212" s="102"/>
      <c r="G212" s="2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27"/>
      <c r="H213" s="27"/>
      <c r="I213" s="37">
        <f>SUM(I204:I212)</f>
        <v>8904</v>
      </c>
      <c r="J213" s="136">
        <f>SUM(J204:J212)</f>
        <v>1</v>
      </c>
      <c r="K213" s="56">
        <f>SUM(K204:K212)</f>
        <v>247627</v>
      </c>
      <c r="L213" s="136">
        <f>SUM(L204:L212)</f>
        <v>0.99999999999999989</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8904</v>
      </c>
      <c r="J215" s="136"/>
      <c r="K215" s="56">
        <f>+K213+K214</f>
        <v>247627</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JULY 2007</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900-000000000000}"/>
    <hyperlink ref="K201" r:id="rId2" xr:uid="{00000000-0004-0000-09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39409</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6.5875000000000003E-2</v>
      </c>
      <c r="D36" s="27"/>
      <c r="E36" s="41">
        <v>7.1374999999999994E-2</v>
      </c>
      <c r="F36" s="42"/>
      <c r="G36" s="41">
        <v>7.3874999999999996E-2</v>
      </c>
      <c r="H36" s="42"/>
      <c r="I36" s="41"/>
      <c r="J36" s="42"/>
      <c r="K36" s="41"/>
      <c r="L36" s="142"/>
      <c r="M36" s="42">
        <f>SUMPRODUCT(C36:G36,C31:G31)/M31</f>
        <v>6.7364999999999994E-2</v>
      </c>
      <c r="N36" s="27"/>
      <c r="O36" s="6"/>
    </row>
    <row r="37" spans="1:15" ht="15.6" x14ac:dyDescent="0.3">
      <c r="A37" s="26"/>
      <c r="B37" s="27" t="s">
        <v>19</v>
      </c>
      <c r="C37" s="41">
        <v>5.9540000000000003E-2</v>
      </c>
      <c r="D37" s="27"/>
      <c r="E37" s="41">
        <v>6.5040000000000001E-2</v>
      </c>
      <c r="F37" s="42"/>
      <c r="G37" s="41">
        <v>6.7540000000000003E-2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39401</v>
      </c>
      <c r="N47" s="27"/>
      <c r="O47" s="6"/>
    </row>
    <row r="48" spans="1:15" ht="15.6" x14ac:dyDescent="0.3">
      <c r="A48" s="26"/>
      <c r="B48" s="27" t="s">
        <v>26</v>
      </c>
      <c r="C48" s="27"/>
      <c r="D48" s="27"/>
      <c r="E48" s="27"/>
      <c r="F48" s="27"/>
      <c r="G48" s="27"/>
      <c r="H48" s="27"/>
      <c r="I48" s="27"/>
      <c r="J48" s="27">
        <f>M48-K48+1</f>
        <v>92</v>
      </c>
      <c r="K48" s="48">
        <v>39217</v>
      </c>
      <c r="L48" s="49"/>
      <c r="M48" s="48">
        <v>39308</v>
      </c>
      <c r="N48" s="27"/>
      <c r="O48" s="6"/>
    </row>
    <row r="49" spans="1:15" ht="15.6" x14ac:dyDescent="0.3">
      <c r="A49" s="26"/>
      <c r="B49" s="27" t="s">
        <v>27</v>
      </c>
      <c r="C49" s="27"/>
      <c r="D49" s="27"/>
      <c r="E49" s="27"/>
      <c r="F49" s="27"/>
      <c r="G49" s="27"/>
      <c r="H49" s="27"/>
      <c r="I49" s="27"/>
      <c r="J49" s="27">
        <f>M49-K49+1</f>
        <v>92</v>
      </c>
      <c r="K49" s="48">
        <v>39309</v>
      </c>
      <c r="L49" s="49"/>
      <c r="M49" s="48">
        <v>39400</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39387</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227</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247627</v>
      </c>
      <c r="F59" s="37"/>
      <c r="G59" s="37">
        <f>26685+2720+306+555+28</f>
        <v>30294</v>
      </c>
      <c r="H59" s="37"/>
      <c r="I59" s="37">
        <f>15941+576</f>
        <v>16517</v>
      </c>
      <c r="J59" s="37"/>
      <c r="K59" s="37">
        <v>0</v>
      </c>
      <c r="L59" s="37"/>
      <c r="M59" s="56">
        <f>E59-G59+I59-K59</f>
        <v>233850</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247627</v>
      </c>
      <c r="F63" s="37"/>
      <c r="G63" s="37">
        <f>SUM(G59:G62)</f>
        <v>30294</v>
      </c>
      <c r="H63" s="37"/>
      <c r="I63" s="37">
        <f>SUM(I59:I62)</f>
        <v>16517</v>
      </c>
      <c r="J63" s="37"/>
      <c r="K63" s="37">
        <f>SUM(K59:K62)</f>
        <v>0</v>
      </c>
      <c r="L63" s="37"/>
      <c r="M63" s="57">
        <f>SUM(M59:M62)</f>
        <v>233850</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39033</v>
      </c>
      <c r="F74" s="37"/>
      <c r="G74" s="37"/>
      <c r="H74" s="37"/>
      <c r="I74" s="37"/>
      <c r="J74" s="37"/>
      <c r="K74" s="37"/>
      <c r="L74" s="37"/>
      <c r="M74" s="57">
        <f>K112-M73</f>
        <v>66150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286660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39386</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+'July 2007'!K112</f>
        <v>52373</v>
      </c>
      <c r="L80" s="27"/>
      <c r="M80" s="56">
        <v>0</v>
      </c>
      <c r="N80" s="27"/>
      <c r="O80" s="6"/>
    </row>
    <row r="81" spans="1:16" ht="15.6" x14ac:dyDescent="0.3">
      <c r="A81" s="26"/>
      <c r="B81" s="27" t="s">
        <v>42</v>
      </c>
      <c r="C81" s="43" t="s">
        <v>207</v>
      </c>
      <c r="D81" s="60" t="s">
        <v>207</v>
      </c>
      <c r="E81" s="61"/>
      <c r="F81" s="27"/>
      <c r="G81" s="27"/>
      <c r="H81" s="27"/>
      <c r="I81" s="27"/>
      <c r="J81" s="27"/>
      <c r="K81" s="37">
        <f>30294-555</f>
        <v>29739</v>
      </c>
      <c r="L81" s="27"/>
      <c r="M81" s="56"/>
      <c r="N81" s="27"/>
      <c r="O81" s="6"/>
    </row>
    <row r="82" spans="1:16" ht="15.6" x14ac:dyDescent="0.3">
      <c r="A82" s="26"/>
      <c r="B82" s="27" t="s">
        <v>204</v>
      </c>
      <c r="C82" s="43"/>
      <c r="D82" s="60"/>
      <c r="E82" s="61"/>
      <c r="F82" s="27"/>
      <c r="G82" s="27"/>
      <c r="H82" s="27"/>
      <c r="I82" s="27"/>
      <c r="J82" s="27"/>
      <c r="K82" s="37"/>
      <c r="L82" s="27"/>
      <c r="M82" s="56">
        <f>8268-2839</f>
        <v>5429</v>
      </c>
      <c r="N82" s="27"/>
      <c r="O82" s="6"/>
    </row>
    <row r="83" spans="1:16" ht="15.6" x14ac:dyDescent="0.3">
      <c r="A83" s="26"/>
      <c r="B83" s="27" t="s">
        <v>205</v>
      </c>
      <c r="C83" s="43"/>
      <c r="D83" s="60"/>
      <c r="E83" s="61"/>
      <c r="F83" s="27"/>
      <c r="G83" s="27"/>
      <c r="H83" s="27"/>
      <c r="I83" s="27"/>
      <c r="J83" s="27"/>
      <c r="K83" s="37"/>
      <c r="L83" s="27"/>
      <c r="M83" s="56">
        <v>1953</v>
      </c>
      <c r="N83" s="27"/>
      <c r="O83" s="6"/>
    </row>
    <row r="84" spans="1:16" ht="15.6" x14ac:dyDescent="0.3">
      <c r="A84" s="26"/>
      <c r="B84" s="27" t="s">
        <v>206</v>
      </c>
      <c r="C84" s="43"/>
      <c r="D84" s="60"/>
      <c r="E84" s="61"/>
      <c r="F84" s="27"/>
      <c r="G84" s="27"/>
      <c r="H84" s="27"/>
      <c r="I84" s="27"/>
      <c r="J84" s="27"/>
      <c r="K84" s="37"/>
      <c r="L84" s="27"/>
      <c r="M84" s="56">
        <v>1034</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82112</v>
      </c>
      <c r="L86" s="27"/>
      <c r="M86" s="57">
        <f>SUM(M80:M85)</f>
        <v>8416</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82112</v>
      </c>
      <c r="L88" s="27"/>
      <c r="M88" s="57">
        <f>M86+M87</f>
        <v>8416</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-58</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-95-94-3</f>
        <v>-192</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-3835</v>
      </c>
      <c r="N94" s="27"/>
      <c r="O94" s="6"/>
    </row>
    <row r="95" spans="1:16" ht="15.6" x14ac:dyDescent="0.3">
      <c r="A95" s="26">
        <v>5</v>
      </c>
      <c r="B95" s="27" t="s">
        <v>52</v>
      </c>
      <c r="C95" s="27"/>
      <c r="D95" s="27"/>
      <c r="E95" s="27"/>
      <c r="F95" s="27"/>
      <c r="G95" s="27"/>
      <c r="H95" s="27"/>
      <c r="I95" s="27"/>
      <c r="J95" s="27"/>
      <c r="K95" s="27"/>
      <c r="L95" s="27"/>
      <c r="M95" s="56">
        <v>-756</v>
      </c>
      <c r="N95" s="27"/>
      <c r="O95" s="6"/>
    </row>
    <row r="96" spans="1:16" ht="15.6" x14ac:dyDescent="0.3">
      <c r="A96" s="26">
        <v>6</v>
      </c>
      <c r="B96" s="27" t="s">
        <v>172</v>
      </c>
      <c r="C96" s="27"/>
      <c r="D96" s="27"/>
      <c r="E96" s="27"/>
      <c r="F96" s="27"/>
      <c r="G96" s="27"/>
      <c r="H96" s="27"/>
      <c r="I96" s="27"/>
      <c r="J96" s="27"/>
      <c r="K96" s="27"/>
      <c r="L96" s="27"/>
      <c r="M96" s="56">
        <v>-503</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555</v>
      </c>
      <c r="L98" s="27"/>
      <c r="M98" s="56">
        <v>-555</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-96</v>
      </c>
      <c r="N102" s="27"/>
      <c r="O102" s="6"/>
    </row>
    <row r="103" spans="1:16" ht="15.6" x14ac:dyDescent="0.3">
      <c r="A103" s="26">
        <v>13</v>
      </c>
      <c r="B103" s="27" t="s">
        <v>195</v>
      </c>
      <c r="C103" s="27"/>
      <c r="D103" s="27"/>
      <c r="E103" s="27"/>
      <c r="F103" s="27"/>
      <c r="G103" s="27"/>
      <c r="H103" s="27"/>
      <c r="I103" s="27"/>
      <c r="J103" s="27"/>
      <c r="K103" s="27"/>
      <c r="L103" s="27"/>
      <c r="M103" s="56">
        <f>-M88-SUM(M90:M102)</f>
        <v>-2414</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-576</v>
      </c>
      <c r="L106" s="37"/>
      <c r="M106" s="56"/>
      <c r="N106" s="27"/>
      <c r="O106" s="6"/>
      <c r="P106" s="117"/>
    </row>
    <row r="107" spans="1:16" ht="15.6" x14ac:dyDescent="0.3">
      <c r="A107" s="26"/>
      <c r="B107" s="27" t="s">
        <v>187</v>
      </c>
      <c r="C107" s="27"/>
      <c r="D107" s="27"/>
      <c r="E107" s="27"/>
      <c r="F107" s="27"/>
      <c r="G107" s="27"/>
      <c r="H107" s="27"/>
      <c r="I107" s="27"/>
      <c r="J107" s="27"/>
      <c r="K107" s="37">
        <v>-15941</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-16517</v>
      </c>
      <c r="L111" s="37"/>
      <c r="M111" s="37">
        <f>SUM(M89:M110)</f>
        <v>-8416</v>
      </c>
      <c r="N111" s="27"/>
      <c r="O111" s="6"/>
    </row>
    <row r="112" spans="1:16" ht="15.6" x14ac:dyDescent="0.3">
      <c r="A112" s="26"/>
      <c r="B112" s="27" t="s">
        <v>61</v>
      </c>
      <c r="C112" s="27"/>
      <c r="D112" s="27"/>
      <c r="E112" s="27"/>
      <c r="F112" s="27"/>
      <c r="G112" s="27"/>
      <c r="H112" s="27"/>
      <c r="I112" s="27"/>
      <c r="J112" s="27"/>
      <c r="K112" s="37">
        <f>K88+K111+K98</f>
        <v>66150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OCTOBER 2007</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-114</v>
      </c>
      <c r="N138" s="27"/>
      <c r="O138" s="6"/>
    </row>
    <row r="139" spans="1:15" ht="15.6" x14ac:dyDescent="0.3">
      <c r="A139" s="26"/>
      <c r="B139" s="27" t="s">
        <v>180</v>
      </c>
      <c r="C139" s="27"/>
      <c r="D139" s="27"/>
      <c r="E139" s="27"/>
      <c r="F139" s="27"/>
      <c r="G139" s="27"/>
      <c r="H139" s="27"/>
      <c r="I139" s="27"/>
      <c r="J139" s="27"/>
      <c r="K139" s="27"/>
      <c r="L139" s="27"/>
      <c r="M139" s="56">
        <f>364+305</f>
        <v>669</v>
      </c>
      <c r="N139" s="27"/>
      <c r="O139" s="6"/>
    </row>
    <row r="140" spans="1:15" ht="15.6" x14ac:dyDescent="0.3">
      <c r="A140" s="26"/>
      <c r="B140" s="27" t="s">
        <v>77</v>
      </c>
      <c r="C140" s="27"/>
      <c r="D140" s="27"/>
      <c r="E140" s="27"/>
      <c r="F140" s="27"/>
      <c r="G140" s="27"/>
      <c r="H140" s="27"/>
      <c r="I140" s="27"/>
      <c r="J140" s="27"/>
      <c r="K140" s="27"/>
      <c r="L140" s="27"/>
      <c r="M140" s="56">
        <f>M138+M137+M139</f>
        <v>555</v>
      </c>
      <c r="N140" s="27"/>
      <c r="O140" s="6"/>
    </row>
    <row r="141" spans="1:15" ht="15.6" x14ac:dyDescent="0.3">
      <c r="A141" s="26"/>
      <c r="B141" s="27" t="s">
        <v>183</v>
      </c>
      <c r="C141" s="27"/>
      <c r="D141" s="27"/>
      <c r="E141" s="27"/>
      <c r="F141" s="27"/>
      <c r="G141" s="27"/>
      <c r="H141" s="27"/>
      <c r="I141" s="70"/>
      <c r="J141" s="27"/>
      <c r="K141" s="27"/>
      <c r="L141" s="27"/>
      <c r="M141" s="56">
        <f>M98</f>
        <v>-555</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'July 2007'!I155</f>
        <v>4832</v>
      </c>
      <c r="J153" s="27"/>
      <c r="K153" s="56">
        <v>0</v>
      </c>
      <c r="L153" s="27"/>
      <c r="M153" s="56">
        <f>K153+I153</f>
        <v>4832</v>
      </c>
      <c r="N153" s="27"/>
      <c r="O153" s="6"/>
    </row>
    <row r="154" spans="1:16" ht="15.6" x14ac:dyDescent="0.3">
      <c r="A154" s="26"/>
      <c r="B154" s="27" t="s">
        <v>84</v>
      </c>
      <c r="C154" s="27"/>
      <c r="D154" s="27"/>
      <c r="E154" s="27"/>
      <c r="F154" s="27"/>
      <c r="G154" s="27"/>
      <c r="H154" s="27"/>
      <c r="I154" s="37">
        <v>576</v>
      </c>
      <c r="J154" s="27"/>
      <c r="K154" s="27">
        <v>0</v>
      </c>
      <c r="L154" s="27"/>
      <c r="M154" s="56">
        <f>K154+I154</f>
        <v>576</v>
      </c>
      <c r="N154" s="27"/>
      <c r="O154" s="6"/>
    </row>
    <row r="155" spans="1:16" ht="15.6" x14ac:dyDescent="0.3">
      <c r="A155" s="26"/>
      <c r="B155" s="27" t="s">
        <v>85</v>
      </c>
      <c r="C155" s="27"/>
      <c r="D155" s="27"/>
      <c r="E155" s="27"/>
      <c r="F155" s="27"/>
      <c r="G155" s="27"/>
      <c r="H155" s="27"/>
      <c r="I155" s="56">
        <f>I153+I154</f>
        <v>5408</v>
      </c>
      <c r="J155" s="27"/>
      <c r="K155" s="56">
        <f>K154+K153</f>
        <v>0</v>
      </c>
      <c r="L155" s="27"/>
      <c r="M155" s="56">
        <f>K155+I155</f>
        <v>5408</v>
      </c>
      <c r="N155" s="27"/>
      <c r="O155" s="6"/>
    </row>
    <row r="156" spans="1:16" ht="15.6" x14ac:dyDescent="0.3">
      <c r="A156" s="26"/>
      <c r="B156" s="27" t="s">
        <v>86</v>
      </c>
      <c r="C156" s="27"/>
      <c r="D156" s="27"/>
      <c r="E156" s="27"/>
      <c r="F156" s="27"/>
      <c r="G156" s="27"/>
      <c r="H156" s="27"/>
      <c r="I156" s="56">
        <f>I152-I155-K155</f>
        <v>9592</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2.1288135593220341</v>
      </c>
      <c r="N160" s="27" t="s">
        <v>145</v>
      </c>
      <c r="O160" s="6"/>
    </row>
    <row r="161" spans="1:15" ht="15.6" x14ac:dyDescent="0.3">
      <c r="A161" s="26"/>
      <c r="B161" s="27" t="s">
        <v>89</v>
      </c>
      <c r="C161" s="27"/>
      <c r="D161" s="27"/>
      <c r="E161" s="27"/>
      <c r="F161" s="27"/>
      <c r="G161" s="27"/>
      <c r="H161" s="27"/>
      <c r="I161" s="27"/>
      <c r="J161" s="27"/>
      <c r="K161" s="27"/>
      <c r="L161" s="27"/>
      <c r="M161" s="73">
        <v>2.4700000000000002</v>
      </c>
      <c r="N161" s="27" t="s">
        <v>145</v>
      </c>
      <c r="O161" s="6"/>
    </row>
    <row r="162" spans="1:15" ht="15.6" x14ac:dyDescent="0.3">
      <c r="A162" s="26"/>
      <c r="B162" s="27" t="s">
        <v>90</v>
      </c>
      <c r="C162" s="27"/>
      <c r="D162" s="27"/>
      <c r="E162" s="27"/>
      <c r="F162" s="27"/>
      <c r="G162" s="27"/>
      <c r="H162" s="27"/>
      <c r="I162" s="27"/>
      <c r="J162" s="27"/>
      <c r="K162" s="27"/>
      <c r="L162" s="27"/>
      <c r="M162" s="63">
        <f>(M88+M90+M91+M92+M93+M94)/-M95</f>
        <v>5.7261904761904763</v>
      </c>
      <c r="N162" s="27" t="s">
        <v>145</v>
      </c>
      <c r="O162" s="6"/>
    </row>
    <row r="163" spans="1:15" ht="15.6" x14ac:dyDescent="0.3">
      <c r="A163" s="26"/>
      <c r="B163" s="27" t="s">
        <v>91</v>
      </c>
      <c r="C163" s="27"/>
      <c r="D163" s="27"/>
      <c r="E163" s="27"/>
      <c r="F163" s="27"/>
      <c r="G163" s="27"/>
      <c r="H163" s="27"/>
      <c r="I163" s="27"/>
      <c r="J163" s="27"/>
      <c r="K163" s="27"/>
      <c r="L163" s="27"/>
      <c r="M163" s="74">
        <v>7.33</v>
      </c>
      <c r="N163" s="27" t="s">
        <v>145</v>
      </c>
      <c r="O163" s="6"/>
    </row>
    <row r="164" spans="1:15" ht="15.6" x14ac:dyDescent="0.3">
      <c r="A164" s="26"/>
      <c r="B164" s="27" t="s">
        <v>181</v>
      </c>
      <c r="C164" s="27"/>
      <c r="D164" s="27"/>
      <c r="E164" s="27"/>
      <c r="F164" s="27"/>
      <c r="G164" s="27"/>
      <c r="H164" s="27"/>
      <c r="I164" s="27"/>
      <c r="J164" s="27"/>
      <c r="K164" s="27"/>
      <c r="L164" s="27"/>
      <c r="M164" s="63">
        <f>(M88+M90+M91+M92+M93+M94+M95)/-M96</f>
        <v>7.1033797216699801</v>
      </c>
      <c r="N164" s="27" t="s">
        <v>145</v>
      </c>
      <c r="O164" s="6"/>
    </row>
    <row r="165" spans="1:15" ht="15.6" x14ac:dyDescent="0.3">
      <c r="A165" s="26"/>
      <c r="B165" s="27" t="s">
        <v>182</v>
      </c>
      <c r="C165" s="27"/>
      <c r="D165" s="27"/>
      <c r="E165" s="27"/>
      <c r="F165" s="27"/>
      <c r="G165" s="27"/>
      <c r="H165" s="27"/>
      <c r="I165" s="27"/>
      <c r="J165" s="27"/>
      <c r="K165" s="27"/>
      <c r="L165" s="27"/>
      <c r="M165" s="74">
        <v>9.43</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OCTOBER 2007</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39386</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9.7199999999999995E-2</v>
      </c>
      <c r="L175" s="27"/>
      <c r="M175" s="27"/>
      <c r="N175" s="27"/>
      <c r="O175" s="6"/>
    </row>
    <row r="176" spans="1:15" ht="15.6" x14ac:dyDescent="0.3">
      <c r="A176" s="83"/>
      <c r="B176" s="84" t="s">
        <v>97</v>
      </c>
      <c r="C176" s="85"/>
      <c r="D176" s="85"/>
      <c r="E176" s="85"/>
      <c r="F176" s="85"/>
      <c r="G176" s="85"/>
      <c r="H176" s="70"/>
      <c r="I176" s="70"/>
      <c r="J176" s="70"/>
      <c r="K176" s="86">
        <f>M36</f>
        <v>6.7364999999999994E-2</v>
      </c>
      <c r="L176" s="27"/>
      <c r="M176" s="27"/>
      <c r="N176" s="27"/>
      <c r="O176" s="6"/>
    </row>
    <row r="177" spans="1:15" ht="15.6" x14ac:dyDescent="0.3">
      <c r="A177" s="83"/>
      <c r="B177" s="84" t="s">
        <v>98</v>
      </c>
      <c r="C177" s="85"/>
      <c r="D177" s="85"/>
      <c r="E177" s="85"/>
      <c r="F177" s="85"/>
      <c r="G177" s="85"/>
      <c r="H177" s="70"/>
      <c r="I177" s="70"/>
      <c r="J177" s="70"/>
      <c r="K177" s="86">
        <f>K175-K176</f>
        <v>2.9835E-2</v>
      </c>
      <c r="L177" s="27"/>
      <c r="M177" s="27"/>
      <c r="N177" s="27"/>
      <c r="O177" s="6"/>
    </row>
    <row r="178" spans="1:15" ht="15.6" x14ac:dyDescent="0.3">
      <c r="A178" s="83"/>
      <c r="B178" s="84" t="s">
        <v>211</v>
      </c>
      <c r="C178" s="85"/>
      <c r="D178" s="85"/>
      <c r="E178" s="85"/>
      <c r="F178" s="85"/>
      <c r="G178" s="85"/>
      <c r="H178" s="70"/>
      <c r="I178" s="70"/>
      <c r="J178" s="70"/>
      <c r="K178" s="86">
        <f>(+M88+M90)/E59</f>
        <v>3.3752377567874262E-2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15.62</v>
      </c>
      <c r="L183" s="27" t="s">
        <v>139</v>
      </c>
      <c r="M183" s="27"/>
      <c r="N183" s="27"/>
      <c r="O183" s="6"/>
    </row>
    <row r="184" spans="1:15" ht="15.6" x14ac:dyDescent="0.3">
      <c r="A184" s="83"/>
      <c r="B184" s="84" t="s">
        <v>103</v>
      </c>
      <c r="C184" s="85"/>
      <c r="D184" s="85"/>
      <c r="E184" s="85"/>
      <c r="F184" s="85"/>
      <c r="G184" s="85"/>
      <c r="H184" s="70"/>
      <c r="I184" s="70"/>
      <c r="J184" s="70"/>
      <c r="K184" s="138">
        <f>K81/E59</f>
        <v>0.12009595076465814</v>
      </c>
      <c r="L184" s="27"/>
      <c r="M184" s="27"/>
      <c r="N184" s="27"/>
      <c r="O184" s="6"/>
    </row>
    <row r="185" spans="1:15" ht="15.6" x14ac:dyDescent="0.3">
      <c r="A185" s="83"/>
      <c r="B185" s="84" t="s">
        <v>104</v>
      </c>
      <c r="C185" s="85"/>
      <c r="D185" s="85"/>
      <c r="E185" s="85"/>
      <c r="F185" s="85"/>
      <c r="G185" s="85"/>
      <c r="H185" s="70"/>
      <c r="I185" s="70"/>
      <c r="J185" s="70"/>
      <c r="K185" s="86">
        <v>0.39539999999999997</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588</v>
      </c>
      <c r="K188" s="93">
        <v>18203</v>
      </c>
      <c r="L188" s="27"/>
      <c r="M188" s="87"/>
      <c r="N188" s="94"/>
      <c r="O188" s="6"/>
    </row>
    <row r="189" spans="1:15" ht="15.6" x14ac:dyDescent="0.3">
      <c r="A189" s="92"/>
      <c r="B189" s="84" t="s">
        <v>196</v>
      </c>
      <c r="C189" s="57"/>
      <c r="D189" s="57"/>
      <c r="E189" s="57"/>
      <c r="F189" s="57"/>
      <c r="G189" s="27"/>
      <c r="H189" s="27"/>
      <c r="I189" s="27"/>
      <c r="J189" s="33">
        <v>14</v>
      </c>
      <c r="K189" s="93">
        <v>499</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16517</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555</v>
      </c>
      <c r="L193" s="27"/>
      <c r="M193" s="87"/>
      <c r="N193" s="96"/>
      <c r="O193" s="6"/>
    </row>
    <row r="194" spans="1:15" ht="15.6" x14ac:dyDescent="0.3">
      <c r="A194" s="92"/>
      <c r="B194" s="84" t="s">
        <v>111</v>
      </c>
      <c r="C194" s="57"/>
      <c r="D194" s="57"/>
      <c r="E194" s="57"/>
      <c r="F194" s="57"/>
      <c r="G194" s="57"/>
      <c r="H194" s="27"/>
      <c r="I194" s="27"/>
      <c r="J194" s="27"/>
      <c r="K194" s="93">
        <f>'July 2007'!K194+'Oct 2007'!K193</f>
        <v>6416</v>
      </c>
      <c r="L194" s="27"/>
      <c r="M194" s="87"/>
      <c r="N194" s="96"/>
      <c r="O194" s="6"/>
    </row>
    <row r="195" spans="1:15" ht="15.6" x14ac:dyDescent="0.3">
      <c r="A195" s="92"/>
      <c r="B195" s="84" t="s">
        <v>112</v>
      </c>
      <c r="C195" s="57"/>
      <c r="D195" s="57"/>
      <c r="E195" s="57"/>
      <c r="F195" s="57"/>
      <c r="G195" s="57"/>
      <c r="H195" s="27"/>
      <c r="I195" s="27"/>
      <c r="J195" s="27"/>
      <c r="K195" s="157">
        <f>+'July 2007'!K195+403</f>
        <v>2975</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9</v>
      </c>
      <c r="L197" s="27"/>
      <c r="M197" s="87"/>
      <c r="N197" s="96"/>
      <c r="O197" s="6"/>
    </row>
    <row r="198" spans="1:15" ht="15.6" x14ac:dyDescent="0.3">
      <c r="A198" s="92"/>
      <c r="B198" s="84" t="s">
        <v>113</v>
      </c>
      <c r="C198" s="57"/>
      <c r="D198" s="57"/>
      <c r="E198" s="97"/>
      <c r="F198" s="97"/>
      <c r="G198" s="98"/>
      <c r="H198" s="27"/>
      <c r="I198" s="27"/>
      <c r="J198" s="27"/>
      <c r="K198" s="68">
        <v>16.04</v>
      </c>
      <c r="L198" s="27"/>
      <c r="M198" s="87"/>
      <c r="N198" s="96"/>
      <c r="O198" s="6"/>
    </row>
    <row r="199" spans="1:15" ht="15.6" x14ac:dyDescent="0.3">
      <c r="A199" s="92"/>
      <c r="B199" s="84" t="s">
        <v>114</v>
      </c>
      <c r="C199" s="57"/>
      <c r="D199" s="57"/>
      <c r="E199" s="97"/>
      <c r="F199" s="97"/>
      <c r="G199" s="98"/>
      <c r="H199" s="27"/>
      <c r="I199" s="27"/>
      <c r="J199" s="27"/>
      <c r="K199" s="68">
        <v>4.95</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7826</v>
      </c>
      <c r="J204" s="103">
        <f>I204/I213</f>
        <v>0.93011647254575702</v>
      </c>
      <c r="K204" s="56">
        <v>215647</v>
      </c>
      <c r="L204" s="136">
        <f>K204/K213</f>
        <v>0.92215950395552704</v>
      </c>
      <c r="M204" s="87"/>
      <c r="N204" s="96"/>
      <c r="O204" s="6"/>
    </row>
    <row r="205" spans="1:15" ht="15.6" x14ac:dyDescent="0.3">
      <c r="A205" s="26"/>
      <c r="B205" s="57" t="s">
        <v>117</v>
      </c>
      <c r="C205" s="102"/>
      <c r="D205" s="102"/>
      <c r="E205" s="57"/>
      <c r="F205" s="102"/>
      <c r="G205" s="27"/>
      <c r="H205" s="103"/>
      <c r="I205" s="57">
        <v>207</v>
      </c>
      <c r="J205" s="103">
        <f>I205/I213</f>
        <v>2.4601854052769195E-2</v>
      </c>
      <c r="K205" s="56">
        <v>6487</v>
      </c>
      <c r="L205" s="136">
        <f>K205/K213</f>
        <v>2.7740004276245456E-2</v>
      </c>
      <c r="M205" s="87"/>
      <c r="N205" s="96"/>
      <c r="O205" s="6"/>
    </row>
    <row r="206" spans="1:15" ht="15.6" x14ac:dyDescent="0.3">
      <c r="A206" s="26"/>
      <c r="B206" s="57" t="s">
        <v>118</v>
      </c>
      <c r="C206" s="102"/>
      <c r="D206" s="102"/>
      <c r="E206" s="57"/>
      <c r="F206" s="102"/>
      <c r="G206" s="27"/>
      <c r="H206" s="103"/>
      <c r="I206" s="57">
        <v>104</v>
      </c>
      <c r="J206" s="103">
        <f>I206/I213</f>
        <v>1.2360351794628001E-2</v>
      </c>
      <c r="K206" s="56">
        <v>2883</v>
      </c>
      <c r="L206" s="136">
        <f>K206/K213</f>
        <v>1.2328415651058371E-2</v>
      </c>
      <c r="M206" s="87"/>
      <c r="N206" s="96"/>
      <c r="O206" s="6"/>
    </row>
    <row r="207" spans="1:15" ht="15.6" x14ac:dyDescent="0.3">
      <c r="A207" s="26"/>
      <c r="B207" s="57" t="s">
        <v>167</v>
      </c>
      <c r="C207" s="102"/>
      <c r="D207" s="102"/>
      <c r="E207" s="57"/>
      <c r="F207" s="102"/>
      <c r="G207" s="27"/>
      <c r="H207" s="103"/>
      <c r="I207" s="57">
        <v>59</v>
      </c>
      <c r="J207" s="103">
        <f>I207/I213</f>
        <v>7.0121226527216545E-3</v>
      </c>
      <c r="K207" s="56">
        <v>1782</v>
      </c>
      <c r="L207" s="136">
        <f>K207/K213</f>
        <v>7.6202694034637588E-3</v>
      </c>
      <c r="M207" s="87"/>
      <c r="N207" s="96"/>
      <c r="O207" s="6"/>
    </row>
    <row r="208" spans="1:15" ht="15.6" x14ac:dyDescent="0.3">
      <c r="A208" s="26"/>
      <c r="B208" s="57" t="s">
        <v>168</v>
      </c>
      <c r="C208" s="102"/>
      <c r="D208" s="102"/>
      <c r="E208" s="57"/>
      <c r="F208" s="102"/>
      <c r="G208" s="27"/>
      <c r="H208" s="103"/>
      <c r="I208" s="57">
        <v>42</v>
      </c>
      <c r="J208" s="103">
        <f>I208/I213</f>
        <v>4.9916805324459234E-3</v>
      </c>
      <c r="K208" s="56">
        <v>1233</v>
      </c>
      <c r="L208" s="136">
        <f>K208/K213</f>
        <v>5.2726106478511864E-3</v>
      </c>
      <c r="M208" s="87"/>
      <c r="N208" s="96"/>
      <c r="O208" s="6"/>
    </row>
    <row r="209" spans="1:15" ht="15.6" x14ac:dyDescent="0.3">
      <c r="A209" s="26"/>
      <c r="B209" s="57" t="s">
        <v>169</v>
      </c>
      <c r="C209" s="102"/>
      <c r="D209" s="102"/>
      <c r="E209" s="57"/>
      <c r="F209" s="102"/>
      <c r="G209" s="27"/>
      <c r="H209" s="103"/>
      <c r="I209" s="57">
        <v>38</v>
      </c>
      <c r="J209" s="103">
        <f>I209/I213</f>
        <v>4.5162823864986924E-3</v>
      </c>
      <c r="K209" s="56">
        <v>1125</v>
      </c>
      <c r="L209" s="136">
        <f>K209/K213</f>
        <v>4.8107761385503527E-3</v>
      </c>
      <c r="M209" s="87"/>
      <c r="N209" s="96"/>
      <c r="O209" s="6"/>
    </row>
    <row r="210" spans="1:15" ht="15.6" x14ac:dyDescent="0.3">
      <c r="A210" s="26"/>
      <c r="B210" s="57" t="s">
        <v>176</v>
      </c>
      <c r="C210" s="102"/>
      <c r="D210" s="102"/>
      <c r="E210" s="57"/>
      <c r="F210" s="102"/>
      <c r="G210" s="27"/>
      <c r="H210" s="103"/>
      <c r="I210" s="57">
        <v>76</v>
      </c>
      <c r="J210" s="103">
        <f>I210/I213</f>
        <v>9.0325647729973847E-3</v>
      </c>
      <c r="K210" s="56">
        <v>2586</v>
      </c>
      <c r="L210" s="136">
        <f>K210/K213</f>
        <v>1.1058370750481078E-2</v>
      </c>
      <c r="M210" s="87"/>
      <c r="N210" s="94"/>
      <c r="O210" s="6"/>
    </row>
    <row r="211" spans="1:15" ht="15.6" x14ac:dyDescent="0.3">
      <c r="A211" s="26"/>
      <c r="B211" s="57" t="s">
        <v>202</v>
      </c>
      <c r="C211" s="102"/>
      <c r="D211" s="102"/>
      <c r="E211" s="57"/>
      <c r="F211" s="102"/>
      <c r="G211" s="27"/>
      <c r="H211" s="103"/>
      <c r="I211" s="57">
        <v>62</v>
      </c>
      <c r="J211" s="103">
        <f>+I211/I213</f>
        <v>7.3686712621820775E-3</v>
      </c>
      <c r="K211" s="56">
        <v>2107</v>
      </c>
      <c r="L211" s="136">
        <f>+K211/K213</f>
        <v>9.01004917682275E-3</v>
      </c>
      <c r="M211" s="87"/>
      <c r="N211" s="94"/>
      <c r="O211" s="6"/>
    </row>
    <row r="212" spans="1:15" ht="15.6" x14ac:dyDescent="0.3">
      <c r="A212" s="26"/>
      <c r="B212" s="57" t="s">
        <v>170</v>
      </c>
      <c r="C212" s="102"/>
      <c r="D212" s="102"/>
      <c r="E212" s="57"/>
      <c r="F212" s="102"/>
      <c r="G212" s="2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27"/>
      <c r="H213" s="27"/>
      <c r="I213" s="37">
        <f>SUM(I204:I212)</f>
        <v>8414</v>
      </c>
      <c r="J213" s="136">
        <f>SUM(J204:J212)</f>
        <v>1</v>
      </c>
      <c r="K213" s="56">
        <f>SUM(K204:K212)</f>
        <v>233850</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8414</v>
      </c>
      <c r="J215" s="136"/>
      <c r="K215" s="56">
        <f>+K213+K214</f>
        <v>233850</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OCTOBER 2007</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A00-000000000000}"/>
    <hyperlink ref="K201" r:id="rId2" xr:uid="{00000000-0004-0000-0A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39500</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6.5424999999999997E-2</v>
      </c>
      <c r="D36" s="27"/>
      <c r="E36" s="41">
        <v>7.0925000000000002E-2</v>
      </c>
      <c r="F36" s="42"/>
      <c r="G36" s="41">
        <v>7.3425000000000004E-2</v>
      </c>
      <c r="H36" s="42"/>
      <c r="I36" s="41"/>
      <c r="J36" s="42"/>
      <c r="K36" s="41"/>
      <c r="L36" s="142"/>
      <c r="M36" s="42">
        <f>SUMPRODUCT(C36:G36,C31:G31)/M31</f>
        <v>6.6914999999999988E-2</v>
      </c>
      <c r="N36" s="27"/>
      <c r="O36" s="6"/>
    </row>
    <row r="37" spans="1:15" ht="15.6" x14ac:dyDescent="0.3">
      <c r="A37" s="26"/>
      <c r="B37" s="27" t="s">
        <v>19</v>
      </c>
      <c r="C37" s="41">
        <v>6.5875000000000003E-2</v>
      </c>
      <c r="D37" s="27"/>
      <c r="E37" s="41">
        <v>7.1374999999999994E-2</v>
      </c>
      <c r="F37" s="42"/>
      <c r="G37" s="41">
        <v>7.3874999999999996E-2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39493</v>
      </c>
      <c r="N47" s="27"/>
      <c r="O47" s="6"/>
    </row>
    <row r="48" spans="1:15" ht="15.6" x14ac:dyDescent="0.3">
      <c r="A48" s="26"/>
      <c r="B48" s="27" t="s">
        <v>26</v>
      </c>
      <c r="C48" s="27"/>
      <c r="D48" s="27"/>
      <c r="E48" s="27"/>
      <c r="F48" s="27"/>
      <c r="G48" s="27"/>
      <c r="H48" s="27"/>
      <c r="I48" s="27"/>
      <c r="J48" s="27">
        <f>M48-K48+1</f>
        <v>92</v>
      </c>
      <c r="K48" s="48">
        <v>39309</v>
      </c>
      <c r="L48" s="49"/>
      <c r="M48" s="48">
        <v>39400</v>
      </c>
      <c r="N48" s="27"/>
      <c r="O48" s="6"/>
    </row>
    <row r="49" spans="1:15" ht="15.6" x14ac:dyDescent="0.3">
      <c r="A49" s="26"/>
      <c r="B49" s="27" t="s">
        <v>27</v>
      </c>
      <c r="C49" s="27"/>
      <c r="D49" s="27"/>
      <c r="E49" s="27"/>
      <c r="F49" s="27"/>
      <c r="G49" s="27"/>
      <c r="H49" s="27"/>
      <c r="I49" s="27"/>
      <c r="J49" s="27">
        <f>M49-K49+1</f>
        <v>92</v>
      </c>
      <c r="K49" s="48">
        <v>39401</v>
      </c>
      <c r="L49" s="49"/>
      <c r="M49" s="48">
        <v>39492</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39479</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228</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233850</v>
      </c>
      <c r="F59" s="37"/>
      <c r="G59" s="37">
        <f>23243+2453+205+923+31</f>
        <v>26855</v>
      </c>
      <c r="H59" s="37"/>
      <c r="I59" s="37">
        <f>17114+497+2164</f>
        <v>19775</v>
      </c>
      <c r="J59" s="37"/>
      <c r="K59" s="37">
        <v>0</v>
      </c>
      <c r="L59" s="37"/>
      <c r="M59" s="56">
        <f>E59-G59+I59-K59</f>
        <v>226770</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233850</v>
      </c>
      <c r="F63" s="37"/>
      <c r="G63" s="37">
        <f>SUM(G59:G62)</f>
        <v>26855</v>
      </c>
      <c r="H63" s="37"/>
      <c r="I63" s="37">
        <f>SUM(I59:I62)</f>
        <v>19775</v>
      </c>
      <c r="J63" s="37"/>
      <c r="K63" s="37">
        <f>SUM(K59:K62)</f>
        <v>0</v>
      </c>
      <c r="L63" s="37"/>
      <c r="M63" s="57">
        <f>SUM(M59:M62)</f>
        <v>226770</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66150</v>
      </c>
      <c r="F74" s="37"/>
      <c r="G74" s="37"/>
      <c r="H74" s="37"/>
      <c r="I74" s="37"/>
      <c r="J74" s="37"/>
      <c r="K74" s="37"/>
      <c r="L74" s="37"/>
      <c r="M74" s="57">
        <f>K112-M73</f>
        <v>73230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39478</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+'Oct 2007'!K112</f>
        <v>66150</v>
      </c>
      <c r="L80" s="27"/>
      <c r="M80" s="56">
        <v>0</v>
      </c>
      <c r="N80" s="27"/>
      <c r="O80" s="6"/>
    </row>
    <row r="81" spans="1:16" ht="15.6" x14ac:dyDescent="0.3">
      <c r="A81" s="26"/>
      <c r="B81" s="27" t="s">
        <v>42</v>
      </c>
      <c r="C81" s="43" t="s">
        <v>207</v>
      </c>
      <c r="D81" s="60" t="s">
        <v>207</v>
      </c>
      <c r="E81" s="61"/>
      <c r="F81" s="27"/>
      <c r="G81" s="27"/>
      <c r="H81" s="27"/>
      <c r="I81" s="27"/>
      <c r="J81" s="27"/>
      <c r="K81" s="37">
        <f>26855-924</f>
        <v>25931</v>
      </c>
      <c r="L81" s="27"/>
      <c r="M81" s="56"/>
      <c r="N81" s="27"/>
      <c r="O81" s="6"/>
    </row>
    <row r="82" spans="1:16" ht="15.6" x14ac:dyDescent="0.3">
      <c r="A82" s="26"/>
      <c r="B82" s="27" t="s">
        <v>204</v>
      </c>
      <c r="C82" s="43"/>
      <c r="D82" s="60"/>
      <c r="E82" s="61"/>
      <c r="F82" s="27"/>
      <c r="G82" s="27"/>
      <c r="H82" s="27"/>
      <c r="I82" s="27"/>
      <c r="J82" s="27"/>
      <c r="K82" s="37"/>
      <c r="L82" s="27"/>
      <c r="M82" s="56">
        <f>7909+24-2403</f>
        <v>5530</v>
      </c>
      <c r="N82" s="27"/>
      <c r="O82" s="6"/>
    </row>
    <row r="83" spans="1:16" ht="15.6" x14ac:dyDescent="0.3">
      <c r="A83" s="26"/>
      <c r="B83" s="27" t="s">
        <v>205</v>
      </c>
      <c r="C83" s="43"/>
      <c r="D83" s="60"/>
      <c r="E83" s="61"/>
      <c r="F83" s="27"/>
      <c r="G83" s="27"/>
      <c r="H83" s="27"/>
      <c r="I83" s="27"/>
      <c r="J83" s="27"/>
      <c r="K83" s="37"/>
      <c r="L83" s="27"/>
      <c r="M83" s="56">
        <v>1759</v>
      </c>
      <c r="N83" s="27"/>
      <c r="O83" s="6"/>
    </row>
    <row r="84" spans="1:16" ht="15.6" x14ac:dyDescent="0.3">
      <c r="A84" s="26"/>
      <c r="B84" s="27" t="s">
        <v>206</v>
      </c>
      <c r="C84" s="43"/>
      <c r="D84" s="60"/>
      <c r="E84" s="61"/>
      <c r="F84" s="27"/>
      <c r="G84" s="27"/>
      <c r="H84" s="27"/>
      <c r="I84" s="27"/>
      <c r="J84" s="27"/>
      <c r="K84" s="37"/>
      <c r="L84" s="27"/>
      <c r="M84" s="56">
        <v>1742</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92081</v>
      </c>
      <c r="L86" s="27"/>
      <c r="M86" s="57">
        <f>SUM(M80:M85)</f>
        <v>9031</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92081</v>
      </c>
      <c r="L88" s="27"/>
      <c r="M88" s="57">
        <f>M86+M87</f>
        <v>9031</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-105</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-90-85-3</f>
        <v>-178</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-3799</v>
      </c>
      <c r="N94" s="27"/>
      <c r="O94" s="6"/>
    </row>
    <row r="95" spans="1:16" ht="15.6" x14ac:dyDescent="0.3">
      <c r="A95" s="26">
        <v>5</v>
      </c>
      <c r="B95" s="27" t="s">
        <v>52</v>
      </c>
      <c r="C95" s="27"/>
      <c r="D95" s="27"/>
      <c r="E95" s="27"/>
      <c r="F95" s="27"/>
      <c r="G95" s="27"/>
      <c r="H95" s="27"/>
      <c r="I95" s="27"/>
      <c r="J95" s="27"/>
      <c r="K95" s="27"/>
      <c r="L95" s="27"/>
      <c r="M95" s="56">
        <v>-749</v>
      </c>
      <c r="N95" s="27"/>
      <c r="O95" s="6"/>
    </row>
    <row r="96" spans="1:16" ht="15.6" x14ac:dyDescent="0.3">
      <c r="A96" s="26">
        <v>6</v>
      </c>
      <c r="B96" s="27" t="s">
        <v>172</v>
      </c>
      <c r="C96" s="27"/>
      <c r="D96" s="27"/>
      <c r="E96" s="27"/>
      <c r="F96" s="27"/>
      <c r="G96" s="27"/>
      <c r="H96" s="27"/>
      <c r="I96" s="27"/>
      <c r="J96" s="27"/>
      <c r="K96" s="27"/>
      <c r="L96" s="27"/>
      <c r="M96" s="56">
        <v>-498</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924</v>
      </c>
      <c r="L98" s="27"/>
      <c r="M98" s="56">
        <v>-924</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-89</v>
      </c>
      <c r="N102" s="27"/>
      <c r="O102" s="6"/>
    </row>
    <row r="103" spans="1:16" ht="15.6" x14ac:dyDescent="0.3">
      <c r="A103" s="26">
        <v>13</v>
      </c>
      <c r="B103" s="27" t="s">
        <v>195</v>
      </c>
      <c r="C103" s="27"/>
      <c r="D103" s="27"/>
      <c r="E103" s="27"/>
      <c r="F103" s="27"/>
      <c r="G103" s="27"/>
      <c r="H103" s="27"/>
      <c r="I103" s="27"/>
      <c r="J103" s="27"/>
      <c r="K103" s="27"/>
      <c r="L103" s="27"/>
      <c r="M103" s="56">
        <f>-M88-SUM(M90:M102)</f>
        <v>-2682</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-498</v>
      </c>
      <c r="L106" s="37"/>
      <c r="M106" s="56"/>
      <c r="N106" s="27"/>
      <c r="O106" s="6"/>
      <c r="P106" s="117"/>
    </row>
    <row r="107" spans="1:16" ht="15.6" x14ac:dyDescent="0.3">
      <c r="A107" s="26"/>
      <c r="B107" s="27" t="s">
        <v>187</v>
      </c>
      <c r="C107" s="27"/>
      <c r="D107" s="27"/>
      <c r="E107" s="27"/>
      <c r="F107" s="27"/>
      <c r="G107" s="27"/>
      <c r="H107" s="27"/>
      <c r="I107" s="27"/>
      <c r="J107" s="27"/>
      <c r="K107" s="37">
        <v>-19277</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-19775</v>
      </c>
      <c r="L111" s="37"/>
      <c r="M111" s="37">
        <f>SUM(M89:M110)</f>
        <v>-9031</v>
      </c>
      <c r="N111" s="27"/>
      <c r="O111" s="6"/>
    </row>
    <row r="112" spans="1:16" ht="15.6" x14ac:dyDescent="0.3">
      <c r="A112" s="26"/>
      <c r="B112" s="27" t="s">
        <v>61</v>
      </c>
      <c r="C112" s="27"/>
      <c r="D112" s="27"/>
      <c r="E112" s="27"/>
      <c r="F112" s="27"/>
      <c r="G112" s="27"/>
      <c r="H112" s="27"/>
      <c r="I112" s="27"/>
      <c r="J112" s="27"/>
      <c r="K112" s="37">
        <f>K88+K111+K98</f>
        <v>73230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JANUARY 2008</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214</v>
      </c>
      <c r="N138" s="27"/>
      <c r="O138" s="6"/>
    </row>
    <row r="139" spans="1:15" ht="15.6" x14ac:dyDescent="0.3">
      <c r="A139" s="26"/>
      <c r="B139" s="27" t="s">
        <v>180</v>
      </c>
      <c r="C139" s="27"/>
      <c r="D139" s="27"/>
      <c r="E139" s="27"/>
      <c r="F139" s="27"/>
      <c r="G139" s="27"/>
      <c r="H139" s="27"/>
      <c r="I139" s="27"/>
      <c r="J139" s="27"/>
      <c r="K139" s="27"/>
      <c r="L139" s="27"/>
      <c r="M139" s="56">
        <f>900-190</f>
        <v>710</v>
      </c>
      <c r="N139" s="27"/>
      <c r="O139" s="6"/>
    </row>
    <row r="140" spans="1:15" ht="15.6" x14ac:dyDescent="0.3">
      <c r="A140" s="26"/>
      <c r="B140" s="27" t="s">
        <v>77</v>
      </c>
      <c r="C140" s="27"/>
      <c r="D140" s="27"/>
      <c r="E140" s="27"/>
      <c r="F140" s="27"/>
      <c r="G140" s="27"/>
      <c r="H140" s="27"/>
      <c r="I140" s="27"/>
      <c r="J140" s="27"/>
      <c r="K140" s="27"/>
      <c r="L140" s="27"/>
      <c r="M140" s="56">
        <f>M138+M137+M139</f>
        <v>924</v>
      </c>
      <c r="N140" s="27"/>
      <c r="O140" s="6"/>
    </row>
    <row r="141" spans="1:15" ht="15.6" x14ac:dyDescent="0.3">
      <c r="A141" s="26"/>
      <c r="B141" s="27" t="s">
        <v>183</v>
      </c>
      <c r="C141" s="27"/>
      <c r="D141" s="27"/>
      <c r="E141" s="27"/>
      <c r="F141" s="27"/>
      <c r="G141" s="27"/>
      <c r="H141" s="27"/>
      <c r="I141" s="70"/>
      <c r="J141" s="27"/>
      <c r="K141" s="27"/>
      <c r="L141" s="27"/>
      <c r="M141" s="56">
        <f>M98</f>
        <v>-924</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+'Oct 2007'!I155</f>
        <v>5408</v>
      </c>
      <c r="J153" s="27"/>
      <c r="K153" s="56">
        <v>0</v>
      </c>
      <c r="L153" s="27"/>
      <c r="M153" s="56">
        <f>K153+I153</f>
        <v>5408</v>
      </c>
      <c r="N153" s="27"/>
      <c r="O153" s="6"/>
    </row>
    <row r="154" spans="1:16" ht="15.6" x14ac:dyDescent="0.3">
      <c r="A154" s="26"/>
      <c r="B154" s="27" t="s">
        <v>84</v>
      </c>
      <c r="C154" s="27"/>
      <c r="D154" s="27"/>
      <c r="E154" s="27"/>
      <c r="F154" s="27"/>
      <c r="G154" s="27"/>
      <c r="H154" s="27"/>
      <c r="I154" s="37">
        <v>498</v>
      </c>
      <c r="J154" s="27"/>
      <c r="K154" s="27">
        <v>0</v>
      </c>
      <c r="L154" s="27"/>
      <c r="M154" s="56">
        <f>K154+I154</f>
        <v>498</v>
      </c>
      <c r="N154" s="27"/>
      <c r="O154" s="6"/>
    </row>
    <row r="155" spans="1:16" ht="15.6" x14ac:dyDescent="0.3">
      <c r="A155" s="26"/>
      <c r="B155" s="27" t="s">
        <v>85</v>
      </c>
      <c r="C155" s="27"/>
      <c r="D155" s="27"/>
      <c r="E155" s="27"/>
      <c r="F155" s="27"/>
      <c r="G155" s="27"/>
      <c r="H155" s="27"/>
      <c r="I155" s="56">
        <f>I153+I154</f>
        <v>5906</v>
      </c>
      <c r="J155" s="27"/>
      <c r="K155" s="56">
        <f>K154+K153</f>
        <v>0</v>
      </c>
      <c r="L155" s="27"/>
      <c r="M155" s="56">
        <f>K155+I155</f>
        <v>5906</v>
      </c>
      <c r="N155" s="27"/>
      <c r="O155" s="6"/>
    </row>
    <row r="156" spans="1:16" ht="15.6" x14ac:dyDescent="0.3">
      <c r="A156" s="26"/>
      <c r="B156" s="27" t="s">
        <v>86</v>
      </c>
      <c r="C156" s="27"/>
      <c r="D156" s="27"/>
      <c r="E156" s="27"/>
      <c r="F156" s="27"/>
      <c r="G156" s="27"/>
      <c r="H156" s="27"/>
      <c r="I156" s="56">
        <f>I152-I155-K155</f>
        <v>9094</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2.3021847854698603</v>
      </c>
      <c r="N160" s="27" t="s">
        <v>145</v>
      </c>
      <c r="O160" s="6"/>
    </row>
    <row r="161" spans="1:15" ht="15.6" x14ac:dyDescent="0.3">
      <c r="A161" s="26"/>
      <c r="B161" s="27" t="s">
        <v>89</v>
      </c>
      <c r="C161" s="27"/>
      <c r="D161" s="27"/>
      <c r="E161" s="27"/>
      <c r="F161" s="27"/>
      <c r="G161" s="27"/>
      <c r="H161" s="27"/>
      <c r="I161" s="27"/>
      <c r="J161" s="27"/>
      <c r="K161" s="27"/>
      <c r="L161" s="27"/>
      <c r="M161" s="73">
        <v>2.4500000000000002</v>
      </c>
      <c r="N161" s="27" t="s">
        <v>145</v>
      </c>
      <c r="O161" s="6"/>
    </row>
    <row r="162" spans="1:15" ht="15.6" x14ac:dyDescent="0.3">
      <c r="A162" s="26"/>
      <c r="B162" s="27" t="s">
        <v>90</v>
      </c>
      <c r="C162" s="27"/>
      <c r="D162" s="27"/>
      <c r="E162" s="27"/>
      <c r="F162" s="27"/>
      <c r="G162" s="27"/>
      <c r="H162" s="27"/>
      <c r="I162" s="27"/>
      <c r="J162" s="27"/>
      <c r="K162" s="27"/>
      <c r="L162" s="27"/>
      <c r="M162" s="63">
        <f>(M88+M90+M91+M92+M93+M94)/-M95</f>
        <v>6.604806408544726</v>
      </c>
      <c r="N162" s="27" t="s">
        <v>145</v>
      </c>
      <c r="O162" s="6"/>
    </row>
    <row r="163" spans="1:15" ht="15.6" x14ac:dyDescent="0.3">
      <c r="A163" s="26"/>
      <c r="B163" s="27" t="s">
        <v>91</v>
      </c>
      <c r="C163" s="27"/>
      <c r="D163" s="27"/>
      <c r="E163" s="27"/>
      <c r="F163" s="27"/>
      <c r="G163" s="27"/>
      <c r="H163" s="27"/>
      <c r="I163" s="27"/>
      <c r="J163" s="27"/>
      <c r="K163" s="27"/>
      <c r="L163" s="27"/>
      <c r="M163" s="74">
        <v>7.26</v>
      </c>
      <c r="N163" s="27" t="s">
        <v>145</v>
      </c>
      <c r="O163" s="6"/>
    </row>
    <row r="164" spans="1:15" ht="15.6" x14ac:dyDescent="0.3">
      <c r="A164" s="26"/>
      <c r="B164" s="27" t="s">
        <v>181</v>
      </c>
      <c r="C164" s="27"/>
      <c r="D164" s="27"/>
      <c r="E164" s="27"/>
      <c r="F164" s="27"/>
      <c r="G164" s="27"/>
      <c r="H164" s="27"/>
      <c r="I164" s="27"/>
      <c r="J164" s="27"/>
      <c r="K164" s="27"/>
      <c r="L164" s="27"/>
      <c r="M164" s="63">
        <f>(M88+M90+M91+M92+M93+M94+M95)/-M96</f>
        <v>8.429718875502008</v>
      </c>
      <c r="N164" s="27" t="s">
        <v>145</v>
      </c>
      <c r="O164" s="6"/>
    </row>
    <row r="165" spans="1:15" ht="15.6" x14ac:dyDescent="0.3">
      <c r="A165" s="26"/>
      <c r="B165" s="27" t="s">
        <v>182</v>
      </c>
      <c r="C165" s="27"/>
      <c r="D165" s="27"/>
      <c r="E165" s="27"/>
      <c r="F165" s="27"/>
      <c r="G165" s="27"/>
      <c r="H165" s="27"/>
      <c r="I165" s="27"/>
      <c r="J165" s="27"/>
      <c r="K165" s="27"/>
      <c r="L165" s="27"/>
      <c r="M165" s="74">
        <v>9.34</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JANUARY 2008</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39478</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0.1062</v>
      </c>
      <c r="L175" s="27"/>
      <c r="M175" s="27"/>
      <c r="N175" s="27"/>
      <c r="O175" s="6"/>
    </row>
    <row r="176" spans="1:15" ht="15.6" x14ac:dyDescent="0.3">
      <c r="A176" s="83"/>
      <c r="B176" s="84" t="s">
        <v>97</v>
      </c>
      <c r="C176" s="85"/>
      <c r="D176" s="85"/>
      <c r="E176" s="85"/>
      <c r="F176" s="85"/>
      <c r="G176" s="85"/>
      <c r="H176" s="70"/>
      <c r="I176" s="70"/>
      <c r="J176" s="70"/>
      <c r="K176" s="86">
        <f>M36</f>
        <v>6.6914999999999988E-2</v>
      </c>
      <c r="L176" s="27"/>
      <c r="M176" s="27"/>
      <c r="N176" s="27"/>
      <c r="O176" s="6"/>
    </row>
    <row r="177" spans="1:15" ht="15.6" x14ac:dyDescent="0.3">
      <c r="A177" s="83"/>
      <c r="B177" s="84" t="s">
        <v>98</v>
      </c>
      <c r="C177" s="85"/>
      <c r="D177" s="85"/>
      <c r="E177" s="85"/>
      <c r="F177" s="85"/>
      <c r="G177" s="85"/>
      <c r="H177" s="70"/>
      <c r="I177" s="70"/>
      <c r="J177" s="70"/>
      <c r="K177" s="86">
        <f>K175-K176</f>
        <v>3.9285000000000014E-2</v>
      </c>
      <c r="L177" s="27"/>
      <c r="M177" s="27"/>
      <c r="N177" s="27"/>
      <c r="O177" s="6"/>
    </row>
    <row r="178" spans="1:15" ht="15.6" x14ac:dyDescent="0.3">
      <c r="A178" s="83"/>
      <c r="B178" s="84" t="s">
        <v>211</v>
      </c>
      <c r="C178" s="85"/>
      <c r="D178" s="85"/>
      <c r="E178" s="85"/>
      <c r="F178" s="85"/>
      <c r="G178" s="85"/>
      <c r="H178" s="70"/>
      <c r="I178" s="70"/>
      <c r="J178" s="70"/>
      <c r="K178" s="86">
        <f>(+M88+M90)/E59</f>
        <v>3.8169766944622624E-2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15.52</v>
      </c>
      <c r="L183" s="27" t="s">
        <v>139</v>
      </c>
      <c r="M183" s="27"/>
      <c r="N183" s="27"/>
      <c r="O183" s="6"/>
    </row>
    <row r="184" spans="1:15" ht="15.6" x14ac:dyDescent="0.3">
      <c r="A184" s="83"/>
      <c r="B184" s="84" t="s">
        <v>103</v>
      </c>
      <c r="C184" s="85"/>
      <c r="D184" s="85"/>
      <c r="E184" s="85"/>
      <c r="F184" s="85"/>
      <c r="G184" s="85"/>
      <c r="H184" s="70"/>
      <c r="I184" s="70"/>
      <c r="J184" s="70"/>
      <c r="K184" s="138">
        <f>K81/E59</f>
        <v>0.11088732093222151</v>
      </c>
      <c r="L184" s="27"/>
      <c r="M184" s="27"/>
      <c r="N184" s="27"/>
      <c r="O184" s="6"/>
    </row>
    <row r="185" spans="1:15" ht="15.6" x14ac:dyDescent="0.3">
      <c r="A185" s="83"/>
      <c r="B185" s="84" t="s">
        <v>104</v>
      </c>
      <c r="C185" s="85"/>
      <c r="D185" s="85"/>
      <c r="E185" s="85"/>
      <c r="F185" s="85"/>
      <c r="G185" s="85"/>
      <c r="H185" s="70"/>
      <c r="I185" s="70"/>
      <c r="J185" s="70"/>
      <c r="K185" s="86">
        <v>0.39360000000000001</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614</v>
      </c>
      <c r="K188" s="93">
        <v>18925</v>
      </c>
      <c r="L188" s="27"/>
      <c r="M188" s="87"/>
      <c r="N188" s="94"/>
      <c r="O188" s="6"/>
    </row>
    <row r="189" spans="1:15" ht="15.6" x14ac:dyDescent="0.3">
      <c r="A189" s="92"/>
      <c r="B189" s="84" t="s">
        <v>196</v>
      </c>
      <c r="C189" s="57"/>
      <c r="D189" s="57"/>
      <c r="E189" s="57"/>
      <c r="F189" s="57"/>
      <c r="G189" s="27"/>
      <c r="H189" s="27"/>
      <c r="I189" s="27"/>
      <c r="J189" s="33">
        <v>21</v>
      </c>
      <c r="K189" s="93">
        <v>717</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19775</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924</v>
      </c>
      <c r="L193" s="27"/>
      <c r="M193" s="87"/>
      <c r="N193" s="96"/>
      <c r="O193" s="6"/>
    </row>
    <row r="194" spans="1:15" ht="15.6" x14ac:dyDescent="0.3">
      <c r="A194" s="92"/>
      <c r="B194" s="84" t="s">
        <v>111</v>
      </c>
      <c r="C194" s="57"/>
      <c r="D194" s="57"/>
      <c r="E194" s="57"/>
      <c r="F194" s="57"/>
      <c r="G194" s="57"/>
      <c r="H194" s="27"/>
      <c r="I194" s="27"/>
      <c r="J194" s="27"/>
      <c r="K194" s="93">
        <f>'Oct 2007'!K194+'Jan 2008'!K193</f>
        <v>7340</v>
      </c>
      <c r="L194" s="27"/>
      <c r="M194" s="87"/>
      <c r="N194" s="96"/>
      <c r="O194" s="6"/>
    </row>
    <row r="195" spans="1:15" ht="15.6" x14ac:dyDescent="0.3">
      <c r="A195" s="92"/>
      <c r="B195" s="84" t="s">
        <v>112</v>
      </c>
      <c r="C195" s="57"/>
      <c r="D195" s="57"/>
      <c r="E195" s="57"/>
      <c r="F195" s="57"/>
      <c r="G195" s="57"/>
      <c r="H195" s="27"/>
      <c r="I195" s="27"/>
      <c r="J195" s="27"/>
      <c r="K195" s="157">
        <f>+'Oct 2007'!K195+246</f>
        <v>3221</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9</v>
      </c>
      <c r="L197" s="27"/>
      <c r="M197" s="87"/>
      <c r="N197" s="96"/>
      <c r="O197" s="6"/>
    </row>
    <row r="198" spans="1:15" ht="15.6" x14ac:dyDescent="0.3">
      <c r="A198" s="92"/>
      <c r="B198" s="84" t="s">
        <v>113</v>
      </c>
      <c r="C198" s="57"/>
      <c r="D198" s="57"/>
      <c r="E198" s="97"/>
      <c r="F198" s="97"/>
      <c r="G198" s="98"/>
      <c r="H198" s="27"/>
      <c r="I198" s="27"/>
      <c r="J198" s="27"/>
      <c r="K198" s="68">
        <v>11.05</v>
      </c>
      <c r="L198" s="27"/>
      <c r="M198" s="87"/>
      <c r="N198" s="96"/>
      <c r="O198" s="6"/>
    </row>
    <row r="199" spans="1:15" ht="15.6" x14ac:dyDescent="0.3">
      <c r="A199" s="92"/>
      <c r="B199" s="84" t="s">
        <v>114</v>
      </c>
      <c r="C199" s="57"/>
      <c r="D199" s="57"/>
      <c r="E199" s="97"/>
      <c r="F199" s="97"/>
      <c r="G199" s="98"/>
      <c r="H199" s="27"/>
      <c r="I199" s="27"/>
      <c r="J199" s="27"/>
      <c r="K199" s="68">
        <v>7.33</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7775</v>
      </c>
      <c r="J204" s="103">
        <f>I204/I213</f>
        <v>0.92680891643819285</v>
      </c>
      <c r="K204" s="56">
        <v>207845</v>
      </c>
      <c r="L204" s="136">
        <f>K204/K213</f>
        <v>0.91654539842130789</v>
      </c>
      <c r="M204" s="87"/>
      <c r="N204" s="96"/>
      <c r="O204" s="6"/>
    </row>
    <row r="205" spans="1:15" ht="15.6" x14ac:dyDescent="0.3">
      <c r="A205" s="26"/>
      <c r="B205" s="57" t="s">
        <v>117</v>
      </c>
      <c r="C205" s="102"/>
      <c r="D205" s="102"/>
      <c r="E205" s="57"/>
      <c r="F205" s="102"/>
      <c r="G205" s="27"/>
      <c r="H205" s="103"/>
      <c r="I205" s="57">
        <v>202</v>
      </c>
      <c r="J205" s="103">
        <f>I205/I213</f>
        <v>2.4079151269519608E-2</v>
      </c>
      <c r="K205" s="56">
        <v>5958</v>
      </c>
      <c r="L205" s="136">
        <f>K205/K213</f>
        <v>2.6273316576266702E-2</v>
      </c>
      <c r="M205" s="87"/>
      <c r="N205" s="96"/>
      <c r="O205" s="6"/>
    </row>
    <row r="206" spans="1:15" ht="15.6" x14ac:dyDescent="0.3">
      <c r="A206" s="26"/>
      <c r="B206" s="57" t="s">
        <v>118</v>
      </c>
      <c r="C206" s="102"/>
      <c r="D206" s="102"/>
      <c r="E206" s="57"/>
      <c r="F206" s="102"/>
      <c r="G206" s="27"/>
      <c r="H206" s="103"/>
      <c r="I206" s="57">
        <v>116</v>
      </c>
      <c r="J206" s="103">
        <f>I206/I213</f>
        <v>1.382763142210037E-2</v>
      </c>
      <c r="K206" s="56">
        <v>3676</v>
      </c>
      <c r="L206" s="136">
        <f>K206/K213</f>
        <v>1.6210257088680159E-2</v>
      </c>
      <c r="M206" s="87"/>
      <c r="N206" s="96"/>
      <c r="O206" s="6"/>
    </row>
    <row r="207" spans="1:15" ht="15.6" x14ac:dyDescent="0.3">
      <c r="A207" s="26"/>
      <c r="B207" s="57" t="s">
        <v>167</v>
      </c>
      <c r="C207" s="102"/>
      <c r="D207" s="102"/>
      <c r="E207" s="57"/>
      <c r="F207" s="102"/>
      <c r="G207" s="27"/>
      <c r="H207" s="103"/>
      <c r="I207" s="57">
        <v>85</v>
      </c>
      <c r="J207" s="103">
        <f>I207/I213</f>
        <v>1.0132316128263201E-2</v>
      </c>
      <c r="K207" s="56">
        <v>2598</v>
      </c>
      <c r="L207" s="136">
        <f>K207/K213</f>
        <v>1.1456541870617806E-2</v>
      </c>
      <c r="M207" s="87"/>
      <c r="N207" s="96"/>
      <c r="O207" s="6"/>
    </row>
    <row r="208" spans="1:15" ht="15.6" x14ac:dyDescent="0.3">
      <c r="A208" s="26"/>
      <c r="B208" s="57" t="s">
        <v>168</v>
      </c>
      <c r="C208" s="102"/>
      <c r="D208" s="102"/>
      <c r="E208" s="57"/>
      <c r="F208" s="102"/>
      <c r="G208" s="27"/>
      <c r="H208" s="103"/>
      <c r="I208" s="57">
        <v>48</v>
      </c>
      <c r="J208" s="103">
        <f>I208/I213</f>
        <v>5.7217785194898082E-3</v>
      </c>
      <c r="K208" s="56">
        <v>1396</v>
      </c>
      <c r="L208" s="136">
        <f>K208/K213</f>
        <v>6.1560171098469819E-3</v>
      </c>
      <c r="M208" s="87"/>
      <c r="N208" s="96"/>
      <c r="O208" s="6"/>
    </row>
    <row r="209" spans="1:15" ht="15.6" x14ac:dyDescent="0.3">
      <c r="A209" s="26"/>
      <c r="B209" s="57" t="s">
        <v>169</v>
      </c>
      <c r="C209" s="102"/>
      <c r="D209" s="102"/>
      <c r="E209" s="57"/>
      <c r="F209" s="102"/>
      <c r="G209" s="27"/>
      <c r="H209" s="103"/>
      <c r="I209" s="57">
        <v>44</v>
      </c>
      <c r="J209" s="103">
        <f>I209/I213</f>
        <v>5.2449636428656575E-3</v>
      </c>
      <c r="K209" s="56">
        <v>1215</v>
      </c>
      <c r="L209" s="136">
        <f>K209/K213</f>
        <v>5.3578515676676805E-3</v>
      </c>
      <c r="M209" s="87"/>
      <c r="N209" s="96"/>
      <c r="O209" s="6"/>
    </row>
    <row r="210" spans="1:15" ht="15.6" x14ac:dyDescent="0.3">
      <c r="A210" s="26"/>
      <c r="B210" s="57" t="s">
        <v>176</v>
      </c>
      <c r="C210" s="102"/>
      <c r="D210" s="102"/>
      <c r="E210" s="57"/>
      <c r="F210" s="102"/>
      <c r="G210" s="27"/>
      <c r="H210" s="103"/>
      <c r="I210" s="57">
        <v>71</v>
      </c>
      <c r="J210" s="103">
        <f>I210/I213</f>
        <v>8.4634640600786751E-3</v>
      </c>
      <c r="K210" s="56">
        <v>2313</v>
      </c>
      <c r="L210" s="136">
        <f>K210/K213</f>
        <v>1.0199761873263659E-2</v>
      </c>
      <c r="M210" s="87"/>
      <c r="N210" s="94"/>
      <c r="O210" s="6"/>
    </row>
    <row r="211" spans="1:15" ht="15.6" x14ac:dyDescent="0.3">
      <c r="A211" s="26"/>
      <c r="B211" s="57" t="s">
        <v>202</v>
      </c>
      <c r="C211" s="102"/>
      <c r="D211" s="102"/>
      <c r="E211" s="57"/>
      <c r="F211" s="102"/>
      <c r="G211" s="27"/>
      <c r="H211" s="103"/>
      <c r="I211" s="57">
        <v>48</v>
      </c>
      <c r="J211" s="103">
        <f>+I211/I213</f>
        <v>5.7217785194898082E-3</v>
      </c>
      <c r="K211" s="56">
        <v>1769</v>
      </c>
      <c r="L211" s="136">
        <f>+K211/K213</f>
        <v>7.8008554923490762E-3</v>
      </c>
      <c r="M211" s="87"/>
      <c r="N211" s="94"/>
      <c r="O211" s="6"/>
    </row>
    <row r="212" spans="1:15" ht="15.6" x14ac:dyDescent="0.3">
      <c r="A212" s="26"/>
      <c r="B212" s="57" t="s">
        <v>170</v>
      </c>
      <c r="C212" s="102"/>
      <c r="D212" s="102"/>
      <c r="E212" s="57"/>
      <c r="F212" s="102"/>
      <c r="G212" s="2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27"/>
      <c r="H213" s="27"/>
      <c r="I213" s="37">
        <f>SUM(I204:I212)</f>
        <v>8389</v>
      </c>
      <c r="J213" s="136">
        <f>SUM(J204:J212)</f>
        <v>1</v>
      </c>
      <c r="K213" s="56">
        <f>SUM(K204:K212)</f>
        <v>226770</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8389</v>
      </c>
      <c r="J215" s="136"/>
      <c r="K215" s="56">
        <f>+K213+K214</f>
        <v>226770</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JANUARY 2008</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B00-000000000000}"/>
    <hyperlink ref="K201" r:id="rId2" xr:uid="{00000000-0004-0000-0B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39590</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5.8512500000000002E-2</v>
      </c>
      <c r="D36" s="27"/>
      <c r="E36" s="41">
        <v>6.40125E-2</v>
      </c>
      <c r="F36" s="42"/>
      <c r="G36" s="41">
        <v>6.6512500000000002E-2</v>
      </c>
      <c r="H36" s="42"/>
      <c r="I36" s="41"/>
      <c r="J36" s="42"/>
      <c r="K36" s="41"/>
      <c r="L36" s="142"/>
      <c r="M36" s="42">
        <f>SUMPRODUCT(C36:G36,C31:G31)/M31</f>
        <v>6.00025E-2</v>
      </c>
      <c r="N36" s="27"/>
      <c r="O36" s="6"/>
    </row>
    <row r="37" spans="1:15" ht="15.6" x14ac:dyDescent="0.3">
      <c r="A37" s="26"/>
      <c r="B37" s="27" t="s">
        <v>19</v>
      </c>
      <c r="C37" s="41">
        <v>6.5424999999999997E-2</v>
      </c>
      <c r="D37" s="27"/>
      <c r="E37" s="41">
        <v>7.0925000000000002E-2</v>
      </c>
      <c r="F37" s="42"/>
      <c r="G37" s="41">
        <v>7.3425000000000004E-2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39583</v>
      </c>
      <c r="N47" s="27"/>
      <c r="O47" s="6"/>
    </row>
    <row r="48" spans="1:15" ht="15.6" x14ac:dyDescent="0.3">
      <c r="A48" s="26"/>
      <c r="B48" s="27" t="s">
        <v>26</v>
      </c>
      <c r="C48" s="27"/>
      <c r="D48" s="27"/>
      <c r="E48" s="27"/>
      <c r="F48" s="27"/>
      <c r="G48" s="27"/>
      <c r="H48" s="27"/>
      <c r="I48" s="27"/>
      <c r="J48" s="27">
        <f>M48-K48+1</f>
        <v>92</v>
      </c>
      <c r="K48" s="48">
        <v>39309</v>
      </c>
      <c r="L48" s="49"/>
      <c r="M48" s="48">
        <v>39400</v>
      </c>
      <c r="N48" s="27"/>
      <c r="O48" s="6"/>
    </row>
    <row r="49" spans="1:15" ht="15.6" x14ac:dyDescent="0.3">
      <c r="A49" s="26"/>
      <c r="B49" s="27" t="s">
        <v>27</v>
      </c>
      <c r="C49" s="27"/>
      <c r="D49" s="27"/>
      <c r="E49" s="27"/>
      <c r="F49" s="27"/>
      <c r="G49" s="27"/>
      <c r="H49" s="27"/>
      <c r="I49" s="27"/>
      <c r="J49" s="27">
        <f>M49-K49+1</f>
        <v>90</v>
      </c>
      <c r="K49" s="48">
        <v>39493</v>
      </c>
      <c r="L49" s="49"/>
      <c r="M49" s="48">
        <v>39582</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39569</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229</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226770</v>
      </c>
      <c r="F59" s="37"/>
      <c r="G59" s="37">
        <f>17177+2515+121+1312</f>
        <v>21125</v>
      </c>
      <c r="H59" s="37"/>
      <c r="I59" s="37">
        <f>24592+377</f>
        <v>24969</v>
      </c>
      <c r="J59" s="37"/>
      <c r="K59" s="37">
        <v>0</v>
      </c>
      <c r="L59" s="37"/>
      <c r="M59" s="56">
        <f>E59-G59+I59-K59</f>
        <v>230614</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226770</v>
      </c>
      <c r="F63" s="37"/>
      <c r="G63" s="37">
        <f>SUM(G59:G62)</f>
        <v>21125</v>
      </c>
      <c r="H63" s="37"/>
      <c r="I63" s="37">
        <f>SUM(I59:I62)</f>
        <v>24969</v>
      </c>
      <c r="J63" s="37"/>
      <c r="K63" s="37">
        <f>SUM(K59:K62)</f>
        <v>0</v>
      </c>
      <c r="L63" s="37"/>
      <c r="M63" s="57">
        <f>SUM(M59:M62)</f>
        <v>230614</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73230</v>
      </c>
      <c r="F74" s="37"/>
      <c r="G74" s="37"/>
      <c r="H74" s="37"/>
      <c r="I74" s="37"/>
      <c r="J74" s="37"/>
      <c r="K74" s="37"/>
      <c r="L74" s="37"/>
      <c r="M74" s="57">
        <f>K112-M73</f>
        <v>69386</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39568</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+'Jan 2008'!K112</f>
        <v>73230</v>
      </c>
      <c r="L80" s="27"/>
      <c r="M80" s="56">
        <v>0</v>
      </c>
      <c r="N80" s="27"/>
      <c r="O80" s="6"/>
    </row>
    <row r="81" spans="1:16" ht="15.6" x14ac:dyDescent="0.3">
      <c r="A81" s="26"/>
      <c r="B81" s="27" t="s">
        <v>42</v>
      </c>
      <c r="C81" s="43" t="s">
        <v>207</v>
      </c>
      <c r="D81" s="60" t="s">
        <v>207</v>
      </c>
      <c r="E81" s="61"/>
      <c r="F81" s="27"/>
      <c r="G81" s="27"/>
      <c r="H81" s="27"/>
      <c r="I81" s="27"/>
      <c r="J81" s="27"/>
      <c r="K81" s="37">
        <f>21125-1312</f>
        <v>19813</v>
      </c>
      <c r="L81" s="27"/>
      <c r="M81" s="56"/>
      <c r="N81" s="27"/>
      <c r="O81" s="6"/>
    </row>
    <row r="82" spans="1:16" ht="15.6" x14ac:dyDescent="0.3">
      <c r="A82" s="26"/>
      <c r="B82" s="27" t="s">
        <v>204</v>
      </c>
      <c r="C82" s="43"/>
      <c r="D82" s="60"/>
      <c r="E82" s="61"/>
      <c r="F82" s="27"/>
      <c r="G82" s="27"/>
      <c r="H82" s="27"/>
      <c r="I82" s="27"/>
      <c r="J82" s="27"/>
      <c r="K82" s="37"/>
      <c r="L82" s="27"/>
      <c r="M82" s="56">
        <f>8230+76-2539</f>
        <v>5767</v>
      </c>
      <c r="N82" s="27"/>
      <c r="O82" s="6"/>
    </row>
    <row r="83" spans="1:16" ht="15.6" x14ac:dyDescent="0.3">
      <c r="A83" s="26"/>
      <c r="B83" s="27" t="s">
        <v>205</v>
      </c>
      <c r="C83" s="43"/>
      <c r="D83" s="60"/>
      <c r="E83" s="61"/>
      <c r="F83" s="27"/>
      <c r="G83" s="27"/>
      <c r="H83" s="27"/>
      <c r="I83" s="27"/>
      <c r="J83" s="27"/>
      <c r="K83" s="37"/>
      <c r="L83" s="27"/>
      <c r="M83" s="56">
        <v>1429</v>
      </c>
      <c r="N83" s="27"/>
      <c r="O83" s="6"/>
    </row>
    <row r="84" spans="1:16" ht="15.6" x14ac:dyDescent="0.3">
      <c r="A84" s="26"/>
      <c r="B84" s="27" t="s">
        <v>206</v>
      </c>
      <c r="C84" s="43"/>
      <c r="D84" s="60"/>
      <c r="E84" s="61"/>
      <c r="F84" s="27"/>
      <c r="G84" s="27"/>
      <c r="H84" s="27"/>
      <c r="I84" s="27"/>
      <c r="J84" s="27"/>
      <c r="K84" s="37"/>
      <c r="L84" s="27"/>
      <c r="M84" s="56">
        <v>1236</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93043</v>
      </c>
      <c r="L86" s="27"/>
      <c r="M86" s="57">
        <f>SUM(M80:M85)</f>
        <v>8432</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93043</v>
      </c>
      <c r="L88" s="27"/>
      <c r="M88" s="57">
        <f>M86+M87</f>
        <v>8432</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-7</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-84-109-3</f>
        <v>-196</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-3324</v>
      </c>
      <c r="N94" s="27"/>
      <c r="O94" s="6"/>
    </row>
    <row r="95" spans="1:16" ht="15.6" x14ac:dyDescent="0.3">
      <c r="A95" s="26">
        <v>5</v>
      </c>
      <c r="B95" s="27" t="s">
        <v>52</v>
      </c>
      <c r="C95" s="27"/>
      <c r="D95" s="27"/>
      <c r="E95" s="27"/>
      <c r="F95" s="27"/>
      <c r="G95" s="27"/>
      <c r="H95" s="27"/>
      <c r="I95" s="27"/>
      <c r="J95" s="27"/>
      <c r="K95" s="27"/>
      <c r="L95" s="27"/>
      <c r="M95" s="56">
        <v>-661</v>
      </c>
      <c r="N95" s="27"/>
      <c r="O95" s="6"/>
    </row>
    <row r="96" spans="1:16" ht="15.6" x14ac:dyDescent="0.3">
      <c r="A96" s="26">
        <v>6</v>
      </c>
      <c r="B96" s="27" t="s">
        <v>172</v>
      </c>
      <c r="C96" s="27"/>
      <c r="D96" s="27"/>
      <c r="E96" s="27"/>
      <c r="F96" s="27"/>
      <c r="G96" s="27"/>
      <c r="H96" s="27"/>
      <c r="I96" s="27"/>
      <c r="J96" s="27"/>
      <c r="K96" s="27"/>
      <c r="L96" s="27"/>
      <c r="M96" s="56">
        <v>-442</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1312</v>
      </c>
      <c r="L98" s="27"/>
      <c r="M98" s="56">
        <v>-1312</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-84</v>
      </c>
      <c r="N102" s="27"/>
      <c r="O102" s="6"/>
    </row>
    <row r="103" spans="1:16" ht="15.6" x14ac:dyDescent="0.3">
      <c r="A103" s="26">
        <v>13</v>
      </c>
      <c r="B103" s="27" t="s">
        <v>195</v>
      </c>
      <c r="C103" s="27"/>
      <c r="D103" s="27"/>
      <c r="E103" s="27"/>
      <c r="F103" s="27"/>
      <c r="G103" s="27"/>
      <c r="H103" s="27"/>
      <c r="I103" s="27"/>
      <c r="J103" s="27"/>
      <c r="K103" s="27"/>
      <c r="L103" s="27"/>
      <c r="M103" s="56">
        <f>-M88-SUM(M90:M102)</f>
        <v>-2399</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-377</v>
      </c>
      <c r="L106" s="37"/>
      <c r="M106" s="56"/>
      <c r="N106" s="27"/>
      <c r="O106" s="6"/>
      <c r="P106" s="117"/>
    </row>
    <row r="107" spans="1:16" ht="15.6" x14ac:dyDescent="0.3">
      <c r="A107" s="26"/>
      <c r="B107" s="27" t="s">
        <v>187</v>
      </c>
      <c r="C107" s="27"/>
      <c r="D107" s="27"/>
      <c r="E107" s="27"/>
      <c r="F107" s="27"/>
      <c r="G107" s="27"/>
      <c r="H107" s="27"/>
      <c r="I107" s="27"/>
      <c r="J107" s="27"/>
      <c r="K107" s="37">
        <v>-24592</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-24969</v>
      </c>
      <c r="L111" s="37"/>
      <c r="M111" s="37">
        <f>SUM(M89:M110)</f>
        <v>-8432</v>
      </c>
      <c r="N111" s="27"/>
      <c r="O111" s="6"/>
    </row>
    <row r="112" spans="1:16" ht="15.6" x14ac:dyDescent="0.3">
      <c r="A112" s="26"/>
      <c r="B112" s="27" t="s">
        <v>61</v>
      </c>
      <c r="C112" s="27"/>
      <c r="D112" s="27"/>
      <c r="E112" s="27"/>
      <c r="F112" s="27"/>
      <c r="G112" s="27"/>
      <c r="H112" s="27"/>
      <c r="I112" s="27"/>
      <c r="J112" s="27"/>
      <c r="K112" s="37">
        <f>K88+K111+K98</f>
        <v>69386</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APRIL 2008</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665</v>
      </c>
      <c r="N138" s="27"/>
      <c r="O138" s="6"/>
    </row>
    <row r="139" spans="1:15" ht="15.6" x14ac:dyDescent="0.3">
      <c r="A139" s="26"/>
      <c r="B139" s="27" t="s">
        <v>180</v>
      </c>
      <c r="C139" s="27"/>
      <c r="D139" s="27"/>
      <c r="E139" s="27"/>
      <c r="F139" s="27"/>
      <c r="G139" s="27"/>
      <c r="H139" s="27"/>
      <c r="I139" s="27"/>
      <c r="J139" s="27"/>
      <c r="K139" s="27"/>
      <c r="L139" s="27"/>
      <c r="M139" s="56">
        <f>510+137</f>
        <v>647</v>
      </c>
      <c r="N139" s="27"/>
      <c r="O139" s="6"/>
    </row>
    <row r="140" spans="1:15" ht="15.6" x14ac:dyDescent="0.3">
      <c r="A140" s="26"/>
      <c r="B140" s="27" t="s">
        <v>77</v>
      </c>
      <c r="C140" s="27"/>
      <c r="D140" s="27"/>
      <c r="E140" s="27"/>
      <c r="F140" s="27"/>
      <c r="G140" s="27"/>
      <c r="H140" s="27"/>
      <c r="I140" s="27"/>
      <c r="J140" s="27"/>
      <c r="K140" s="27"/>
      <c r="L140" s="27"/>
      <c r="M140" s="56">
        <f>M138+M137+M139</f>
        <v>1312</v>
      </c>
      <c r="N140" s="27"/>
      <c r="O140" s="6"/>
    </row>
    <row r="141" spans="1:15" ht="15.6" x14ac:dyDescent="0.3">
      <c r="A141" s="26"/>
      <c r="B141" s="27" t="s">
        <v>183</v>
      </c>
      <c r="C141" s="27"/>
      <c r="D141" s="27"/>
      <c r="E141" s="27"/>
      <c r="F141" s="27"/>
      <c r="G141" s="27"/>
      <c r="H141" s="27"/>
      <c r="I141" s="70"/>
      <c r="J141" s="27"/>
      <c r="K141" s="27"/>
      <c r="L141" s="27"/>
      <c r="M141" s="56">
        <f>M98</f>
        <v>-1312</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+'Jan 2008'!I155</f>
        <v>5906</v>
      </c>
      <c r="J153" s="27"/>
      <c r="K153" s="56">
        <v>0</v>
      </c>
      <c r="L153" s="27"/>
      <c r="M153" s="56">
        <f>K153+I153</f>
        <v>5906</v>
      </c>
      <c r="N153" s="27"/>
      <c r="O153" s="6"/>
    </row>
    <row r="154" spans="1:16" ht="15.6" x14ac:dyDescent="0.3">
      <c r="A154" s="26"/>
      <c r="B154" s="27" t="s">
        <v>84</v>
      </c>
      <c r="C154" s="27"/>
      <c r="D154" s="27"/>
      <c r="E154" s="27"/>
      <c r="F154" s="27"/>
      <c r="G154" s="27"/>
      <c r="H154" s="27"/>
      <c r="I154" s="37">
        <v>377</v>
      </c>
      <c r="J154" s="27"/>
      <c r="K154" s="27">
        <v>0</v>
      </c>
      <c r="L154" s="27"/>
      <c r="M154" s="56">
        <f>K154+I154</f>
        <v>377</v>
      </c>
      <c r="N154" s="27"/>
      <c r="O154" s="6"/>
    </row>
    <row r="155" spans="1:16" ht="15.6" x14ac:dyDescent="0.3">
      <c r="A155" s="26"/>
      <c r="B155" s="27" t="s">
        <v>85</v>
      </c>
      <c r="C155" s="27"/>
      <c r="D155" s="27"/>
      <c r="E155" s="27"/>
      <c r="F155" s="27"/>
      <c r="G155" s="27"/>
      <c r="H155" s="27"/>
      <c r="I155" s="56">
        <f>I153+I154</f>
        <v>6283</v>
      </c>
      <c r="J155" s="27"/>
      <c r="K155" s="56">
        <f>K154+K153</f>
        <v>0</v>
      </c>
      <c r="L155" s="27"/>
      <c r="M155" s="56">
        <f>K155+I155</f>
        <v>6283</v>
      </c>
      <c r="N155" s="27"/>
      <c r="O155" s="6"/>
    </row>
    <row r="156" spans="1:16" ht="15.6" x14ac:dyDescent="0.3">
      <c r="A156" s="26"/>
      <c r="B156" s="27" t="s">
        <v>86</v>
      </c>
      <c r="C156" s="27"/>
      <c r="D156" s="27"/>
      <c r="E156" s="27"/>
      <c r="F156" s="27"/>
      <c r="G156" s="27"/>
      <c r="H156" s="27"/>
      <c r="I156" s="56">
        <f>I152-I155-K155</f>
        <v>8717</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2.4750300842358604</v>
      </c>
      <c r="N160" s="27" t="s">
        <v>145</v>
      </c>
      <c r="O160" s="6"/>
    </row>
    <row r="161" spans="1:15" ht="15.6" x14ac:dyDescent="0.3">
      <c r="A161" s="26"/>
      <c r="B161" s="27" t="s">
        <v>89</v>
      </c>
      <c r="C161" s="27"/>
      <c r="D161" s="27"/>
      <c r="E161" s="27"/>
      <c r="F161" s="27"/>
      <c r="G161" s="27"/>
      <c r="H161" s="27"/>
      <c r="I161" s="27"/>
      <c r="J161" s="27"/>
      <c r="K161" s="27"/>
      <c r="L161" s="27"/>
      <c r="M161" s="73">
        <v>2.46</v>
      </c>
      <c r="N161" s="27" t="s">
        <v>145</v>
      </c>
      <c r="O161" s="6"/>
    </row>
    <row r="162" spans="1:15" ht="15.6" x14ac:dyDescent="0.3">
      <c r="A162" s="26"/>
      <c r="B162" s="27" t="s">
        <v>90</v>
      </c>
      <c r="C162" s="27"/>
      <c r="D162" s="27"/>
      <c r="E162" s="27"/>
      <c r="F162" s="27"/>
      <c r="G162" s="27"/>
      <c r="H162" s="27"/>
      <c r="I162" s="27"/>
      <c r="J162" s="27"/>
      <c r="K162" s="27"/>
      <c r="L162" s="27"/>
      <c r="M162" s="63">
        <f>(M88+M90+M91+M92+M93+M94)/-M95</f>
        <v>7.4175491679273824</v>
      </c>
      <c r="N162" s="27" t="s">
        <v>145</v>
      </c>
      <c r="O162" s="6"/>
    </row>
    <row r="163" spans="1:15" ht="15.6" x14ac:dyDescent="0.3">
      <c r="A163" s="26"/>
      <c r="B163" s="27" t="s">
        <v>91</v>
      </c>
      <c r="C163" s="27"/>
      <c r="D163" s="27"/>
      <c r="E163" s="27"/>
      <c r="F163" s="27"/>
      <c r="G163" s="27"/>
      <c r="H163" s="27"/>
      <c r="I163" s="27"/>
      <c r="J163" s="27"/>
      <c r="K163" s="27"/>
      <c r="L163" s="27"/>
      <c r="M163" s="74">
        <v>7.27</v>
      </c>
      <c r="N163" s="27" t="s">
        <v>145</v>
      </c>
      <c r="O163" s="6"/>
    </row>
    <row r="164" spans="1:15" ht="15.6" x14ac:dyDescent="0.3">
      <c r="A164" s="26"/>
      <c r="B164" s="27" t="s">
        <v>181</v>
      </c>
      <c r="C164" s="27"/>
      <c r="D164" s="27"/>
      <c r="E164" s="27"/>
      <c r="F164" s="27"/>
      <c r="G164" s="27"/>
      <c r="H164" s="27"/>
      <c r="I164" s="27"/>
      <c r="J164" s="27"/>
      <c r="K164" s="27"/>
      <c r="L164" s="27"/>
      <c r="M164" s="63">
        <f>(M88+M90+M91+M92+M93+M94+M95)/-M96</f>
        <v>9.5972850678733028</v>
      </c>
      <c r="N164" s="27" t="s">
        <v>145</v>
      </c>
      <c r="O164" s="6"/>
    </row>
    <row r="165" spans="1:15" ht="15.6" x14ac:dyDescent="0.3">
      <c r="A165" s="26"/>
      <c r="B165" s="27" t="s">
        <v>182</v>
      </c>
      <c r="C165" s="27"/>
      <c r="D165" s="27"/>
      <c r="E165" s="27"/>
      <c r="F165" s="27"/>
      <c r="G165" s="27"/>
      <c r="H165" s="27"/>
      <c r="I165" s="27"/>
      <c r="J165" s="27"/>
      <c r="K165" s="27"/>
      <c r="L165" s="27"/>
      <c r="M165" s="74">
        <v>9.36</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APRIL 2008</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39568</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0.1055</v>
      </c>
      <c r="L175" s="27"/>
      <c r="M175" s="27"/>
      <c r="N175" s="27"/>
      <c r="O175" s="6"/>
    </row>
    <row r="176" spans="1:15" ht="15.6" x14ac:dyDescent="0.3">
      <c r="A176" s="83"/>
      <c r="B176" s="84" t="s">
        <v>97</v>
      </c>
      <c r="C176" s="85"/>
      <c r="D176" s="85"/>
      <c r="E176" s="85"/>
      <c r="F176" s="85"/>
      <c r="G176" s="85"/>
      <c r="H176" s="70"/>
      <c r="I176" s="70"/>
      <c r="J176" s="70"/>
      <c r="K176" s="86">
        <f>M36</f>
        <v>6.00025E-2</v>
      </c>
      <c r="L176" s="27"/>
      <c r="M176" s="27"/>
      <c r="N176" s="27"/>
      <c r="O176" s="6"/>
    </row>
    <row r="177" spans="1:15" ht="15.6" x14ac:dyDescent="0.3">
      <c r="A177" s="83"/>
      <c r="B177" s="84" t="s">
        <v>98</v>
      </c>
      <c r="C177" s="85"/>
      <c r="D177" s="85"/>
      <c r="E177" s="85"/>
      <c r="F177" s="85"/>
      <c r="G177" s="85"/>
      <c r="H177" s="70"/>
      <c r="I177" s="70"/>
      <c r="J177" s="70"/>
      <c r="K177" s="86">
        <f>K175-K176</f>
        <v>4.5497499999999996E-2</v>
      </c>
      <c r="L177" s="27"/>
      <c r="M177" s="27"/>
      <c r="N177" s="27"/>
      <c r="O177" s="6"/>
    </row>
    <row r="178" spans="1:15" ht="15.6" x14ac:dyDescent="0.3">
      <c r="A178" s="83"/>
      <c r="B178" s="84" t="s">
        <v>211</v>
      </c>
      <c r="C178" s="85"/>
      <c r="D178" s="85"/>
      <c r="E178" s="85"/>
      <c r="F178" s="85"/>
      <c r="G178" s="85"/>
      <c r="H178" s="70"/>
      <c r="I178" s="70"/>
      <c r="J178" s="70"/>
      <c r="K178" s="86">
        <f>(+M88+M90)/E59</f>
        <v>3.7152180623539269E-2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15.44</v>
      </c>
      <c r="L183" s="27" t="s">
        <v>139</v>
      </c>
      <c r="M183" s="27"/>
      <c r="N183" s="27"/>
      <c r="O183" s="6"/>
    </row>
    <row r="184" spans="1:15" ht="15.6" x14ac:dyDescent="0.3">
      <c r="A184" s="83"/>
      <c r="B184" s="84" t="s">
        <v>103</v>
      </c>
      <c r="C184" s="85"/>
      <c r="D184" s="85"/>
      <c r="E184" s="85"/>
      <c r="F184" s="85"/>
      <c r="G184" s="85"/>
      <c r="H184" s="70"/>
      <c r="I184" s="70"/>
      <c r="J184" s="70"/>
      <c r="K184" s="138">
        <f>K81/E59</f>
        <v>8.7370463465184983E-2</v>
      </c>
      <c r="L184" s="27"/>
      <c r="M184" s="27"/>
      <c r="N184" s="27"/>
      <c r="O184" s="6"/>
    </row>
    <row r="185" spans="1:15" ht="15.6" x14ac:dyDescent="0.3">
      <c r="A185" s="83"/>
      <c r="B185" s="84" t="s">
        <v>104</v>
      </c>
      <c r="C185" s="85"/>
      <c r="D185" s="85"/>
      <c r="E185" s="85"/>
      <c r="F185" s="85"/>
      <c r="G185" s="85"/>
      <c r="H185" s="70"/>
      <c r="I185" s="70"/>
      <c r="J185" s="70"/>
      <c r="K185" s="86">
        <v>0.38750000000000001</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606</v>
      </c>
      <c r="K188" s="93">
        <v>18517</v>
      </c>
      <c r="L188" s="27"/>
      <c r="M188" s="87"/>
      <c r="N188" s="94"/>
      <c r="O188" s="6"/>
    </row>
    <row r="189" spans="1:15" ht="15.6" x14ac:dyDescent="0.3">
      <c r="A189" s="92"/>
      <c r="B189" s="84" t="s">
        <v>196</v>
      </c>
      <c r="C189" s="57"/>
      <c r="D189" s="57"/>
      <c r="E189" s="57"/>
      <c r="F189" s="57"/>
      <c r="G189" s="27"/>
      <c r="H189" s="27"/>
      <c r="I189" s="27"/>
      <c r="J189" s="33">
        <v>15</v>
      </c>
      <c r="K189" s="93">
        <v>523</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24969</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1312</v>
      </c>
      <c r="L193" s="27"/>
      <c r="M193" s="87"/>
      <c r="N193" s="96"/>
      <c r="O193" s="6"/>
    </row>
    <row r="194" spans="1:15" ht="15.6" x14ac:dyDescent="0.3">
      <c r="A194" s="92"/>
      <c r="B194" s="84" t="s">
        <v>111</v>
      </c>
      <c r="C194" s="57"/>
      <c r="D194" s="57"/>
      <c r="E194" s="57"/>
      <c r="F194" s="57"/>
      <c r="G194" s="57"/>
      <c r="H194" s="27"/>
      <c r="I194" s="27"/>
      <c r="J194" s="27"/>
      <c r="K194" s="93">
        <f>'Jan 2008'!K194+'April 2008'!K193</f>
        <v>8652</v>
      </c>
      <c r="L194" s="27"/>
      <c r="M194" s="87"/>
      <c r="N194" s="96"/>
      <c r="O194" s="6"/>
    </row>
    <row r="195" spans="1:15" ht="15.6" x14ac:dyDescent="0.3">
      <c r="A195" s="92"/>
      <c r="B195" s="84" t="s">
        <v>112</v>
      </c>
      <c r="C195" s="57"/>
      <c r="D195" s="57"/>
      <c r="E195" s="57"/>
      <c r="F195" s="57"/>
      <c r="G195" s="57"/>
      <c r="H195" s="27"/>
      <c r="I195" s="27"/>
      <c r="J195" s="27"/>
      <c r="K195" s="157">
        <f>+'Jan 2008'!K195+242</f>
        <v>3463</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12</v>
      </c>
      <c r="L197" s="27"/>
      <c r="M197" s="87"/>
      <c r="N197" s="96"/>
      <c r="O197" s="6"/>
    </row>
    <row r="198" spans="1:15" ht="15.6" x14ac:dyDescent="0.3">
      <c r="A198" s="92"/>
      <c r="B198" s="84" t="s">
        <v>113</v>
      </c>
      <c r="C198" s="57"/>
      <c r="D198" s="57"/>
      <c r="E198" s="97"/>
      <c r="F198" s="97"/>
      <c r="G198" s="98"/>
      <c r="H198" s="27"/>
      <c r="I198" s="27"/>
      <c r="J198" s="27"/>
      <c r="K198" s="68">
        <v>18.86</v>
      </c>
      <c r="L198" s="27"/>
      <c r="M198" s="87"/>
      <c r="N198" s="96"/>
      <c r="O198" s="6"/>
    </row>
    <row r="199" spans="1:15" ht="15.6" x14ac:dyDescent="0.3">
      <c r="A199" s="92"/>
      <c r="B199" s="84" t="s">
        <v>114</v>
      </c>
      <c r="C199" s="57"/>
      <c r="D199" s="57"/>
      <c r="E199" s="97"/>
      <c r="F199" s="97"/>
      <c r="G199" s="98"/>
      <c r="H199" s="27"/>
      <c r="I199" s="27"/>
      <c r="J199" s="27"/>
      <c r="K199" s="68">
        <v>5.86</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8103</v>
      </c>
      <c r="J204" s="103">
        <f>I204/I213</f>
        <v>0.93041681019634859</v>
      </c>
      <c r="K204" s="56">
        <v>212097</v>
      </c>
      <c r="L204" s="136">
        <f>K204/K213</f>
        <v>0.91970565533749038</v>
      </c>
      <c r="M204" s="87"/>
      <c r="N204" s="96"/>
      <c r="O204" s="6"/>
    </row>
    <row r="205" spans="1:15" ht="15.6" x14ac:dyDescent="0.3">
      <c r="A205" s="26"/>
      <c r="B205" s="57" t="s">
        <v>117</v>
      </c>
      <c r="C205" s="102"/>
      <c r="D205" s="102"/>
      <c r="E205" s="57"/>
      <c r="F205" s="102"/>
      <c r="G205" s="27"/>
      <c r="H205" s="103"/>
      <c r="I205" s="57">
        <v>203</v>
      </c>
      <c r="J205" s="103">
        <f>I205/I213</f>
        <v>2.330922034676771E-2</v>
      </c>
      <c r="K205" s="56">
        <v>6143</v>
      </c>
      <c r="L205" s="136">
        <f>K205/K213</f>
        <v>2.6637584882097356E-2</v>
      </c>
      <c r="M205" s="87"/>
      <c r="N205" s="96"/>
      <c r="O205" s="6"/>
    </row>
    <row r="206" spans="1:15" ht="15.6" x14ac:dyDescent="0.3">
      <c r="A206" s="26"/>
      <c r="B206" s="57" t="s">
        <v>118</v>
      </c>
      <c r="C206" s="102"/>
      <c r="D206" s="102"/>
      <c r="E206" s="57"/>
      <c r="F206" s="102"/>
      <c r="G206" s="27"/>
      <c r="H206" s="103"/>
      <c r="I206" s="57">
        <v>118</v>
      </c>
      <c r="J206" s="103">
        <f>I206/I213</f>
        <v>1.3549201974968424E-2</v>
      </c>
      <c r="K206" s="56">
        <v>3581</v>
      </c>
      <c r="L206" s="136">
        <f>K206/K213</f>
        <v>1.5528111909944756E-2</v>
      </c>
      <c r="M206" s="87"/>
      <c r="N206" s="96"/>
      <c r="O206" s="6"/>
    </row>
    <row r="207" spans="1:15" ht="15.6" x14ac:dyDescent="0.3">
      <c r="A207" s="26"/>
      <c r="B207" s="57" t="s">
        <v>167</v>
      </c>
      <c r="C207" s="102"/>
      <c r="D207" s="102"/>
      <c r="E207" s="57"/>
      <c r="F207" s="102"/>
      <c r="G207" s="27"/>
      <c r="H207" s="103"/>
      <c r="I207" s="57">
        <v>58</v>
      </c>
      <c r="J207" s="103">
        <f>I207/I213</f>
        <v>6.6597772419336315E-3</v>
      </c>
      <c r="K207" s="56">
        <v>1712</v>
      </c>
      <c r="L207" s="136">
        <f>K207/K213</f>
        <v>7.423660315505563E-3</v>
      </c>
      <c r="M207" s="87"/>
      <c r="N207" s="96"/>
      <c r="O207" s="6"/>
    </row>
    <row r="208" spans="1:15" ht="15.6" x14ac:dyDescent="0.3">
      <c r="A208" s="26"/>
      <c r="B208" s="57" t="s">
        <v>168</v>
      </c>
      <c r="C208" s="102"/>
      <c r="D208" s="102"/>
      <c r="E208" s="57"/>
      <c r="F208" s="102"/>
      <c r="G208" s="27"/>
      <c r="H208" s="103"/>
      <c r="I208" s="57">
        <v>49</v>
      </c>
      <c r="J208" s="103">
        <f>I208/I213</f>
        <v>5.6263635319784133E-3</v>
      </c>
      <c r="K208" s="56">
        <v>1441</v>
      </c>
      <c r="L208" s="136">
        <f>K208/K213</f>
        <v>6.2485365155628015E-3</v>
      </c>
      <c r="M208" s="87"/>
      <c r="N208" s="96"/>
      <c r="O208" s="6"/>
    </row>
    <row r="209" spans="1:15" ht="15.6" x14ac:dyDescent="0.3">
      <c r="A209" s="26"/>
      <c r="B209" s="57" t="s">
        <v>169</v>
      </c>
      <c r="C209" s="102"/>
      <c r="D209" s="102"/>
      <c r="E209" s="57"/>
      <c r="F209" s="102"/>
      <c r="G209" s="27"/>
      <c r="H209" s="103"/>
      <c r="I209" s="57">
        <v>45</v>
      </c>
      <c r="J209" s="103">
        <f>I209/I213</f>
        <v>5.1670685497760939E-3</v>
      </c>
      <c r="K209" s="56">
        <v>1471</v>
      </c>
      <c r="L209" s="136">
        <f>K209/K213</f>
        <v>6.3786240210915212E-3</v>
      </c>
      <c r="M209" s="87"/>
      <c r="N209" s="96"/>
      <c r="O209" s="6"/>
    </row>
    <row r="210" spans="1:15" ht="15.6" x14ac:dyDescent="0.3">
      <c r="A210" s="26"/>
      <c r="B210" s="57" t="s">
        <v>176</v>
      </c>
      <c r="C210" s="102"/>
      <c r="D210" s="102"/>
      <c r="E210" s="57"/>
      <c r="F210" s="102"/>
      <c r="G210" s="27"/>
      <c r="H210" s="103"/>
      <c r="I210" s="57">
        <v>93</v>
      </c>
      <c r="J210" s="103">
        <f>I210/I213</f>
        <v>1.0678608336203927E-2</v>
      </c>
      <c r="K210" s="56">
        <v>2820</v>
      </c>
      <c r="L210" s="136">
        <f>K210/K213</f>
        <v>1.2228225519699584E-2</v>
      </c>
      <c r="M210" s="87"/>
      <c r="N210" s="94"/>
      <c r="O210" s="6"/>
    </row>
    <row r="211" spans="1:15" ht="15.6" x14ac:dyDescent="0.3">
      <c r="A211" s="26"/>
      <c r="B211" s="57" t="s">
        <v>202</v>
      </c>
      <c r="C211" s="102"/>
      <c r="D211" s="102"/>
      <c r="E211" s="57"/>
      <c r="F211" s="102"/>
      <c r="G211" s="27"/>
      <c r="H211" s="103"/>
      <c r="I211" s="57">
        <v>40</v>
      </c>
      <c r="J211" s="103">
        <f>+I211/I213</f>
        <v>4.5929498220231941E-3</v>
      </c>
      <c r="K211" s="56">
        <v>1349</v>
      </c>
      <c r="L211" s="136">
        <f>+K211/K213</f>
        <v>5.849601498608064E-3</v>
      </c>
      <c r="M211" s="87"/>
      <c r="N211" s="94"/>
      <c r="O211" s="6"/>
    </row>
    <row r="212" spans="1:15" ht="15.6" x14ac:dyDescent="0.3">
      <c r="A212" s="26"/>
      <c r="B212" s="57" t="s">
        <v>170</v>
      </c>
      <c r="C212" s="102"/>
      <c r="D212" s="102"/>
      <c r="E212" s="57"/>
      <c r="F212" s="102"/>
      <c r="G212" s="3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37"/>
      <c r="H213" s="27"/>
      <c r="I213" s="37">
        <f>SUM(I204:I212)</f>
        <v>8709</v>
      </c>
      <c r="J213" s="136">
        <f>SUM(J204:J212)</f>
        <v>1.0000000000000002</v>
      </c>
      <c r="K213" s="56">
        <f>SUM(K204:K212)</f>
        <v>230614</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8709</v>
      </c>
      <c r="J215" s="136"/>
      <c r="K215" s="56">
        <f>+K213+K214</f>
        <v>230614</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APRIL 2008</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C00-000000000000}"/>
    <hyperlink ref="K201" r:id="rId2" xr:uid="{00000000-0004-0000-0C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39681</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6.0400000000000002E-2</v>
      </c>
      <c r="D36" s="27"/>
      <c r="E36" s="41">
        <v>6.59E-2</v>
      </c>
      <c r="F36" s="42"/>
      <c r="G36" s="41">
        <v>6.8400000000000002E-2</v>
      </c>
      <c r="H36" s="42"/>
      <c r="I36" s="41"/>
      <c r="J36" s="42"/>
      <c r="K36" s="41"/>
      <c r="L36" s="142"/>
      <c r="M36" s="42">
        <f>SUMPRODUCT(C36:G36,C31:G31)/M31</f>
        <v>6.1890000000000001E-2</v>
      </c>
      <c r="N36" s="27"/>
      <c r="O36" s="6"/>
    </row>
    <row r="37" spans="1:15" ht="15.6" x14ac:dyDescent="0.3">
      <c r="A37" s="26"/>
      <c r="B37" s="27" t="s">
        <v>19</v>
      </c>
      <c r="C37" s="41">
        <v>5.8512500000000002E-2</v>
      </c>
      <c r="D37" s="27"/>
      <c r="E37" s="41">
        <v>6.40125E-2</v>
      </c>
      <c r="F37" s="42"/>
      <c r="G37" s="41">
        <v>6.6512500000000002E-2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39675</v>
      </c>
      <c r="N47" s="27"/>
      <c r="O47" s="6"/>
    </row>
    <row r="48" spans="1:15" ht="15.6" x14ac:dyDescent="0.3">
      <c r="A48" s="26"/>
      <c r="B48" s="27" t="s">
        <v>26</v>
      </c>
      <c r="C48" s="27"/>
      <c r="D48" s="27"/>
      <c r="E48" s="27"/>
      <c r="F48" s="27"/>
      <c r="G48" s="27"/>
      <c r="H48" s="27"/>
      <c r="I48" s="27"/>
      <c r="J48" s="27">
        <f>M48-K48+1</f>
        <v>90</v>
      </c>
      <c r="K48" s="48">
        <v>39493</v>
      </c>
      <c r="L48" s="49"/>
      <c r="M48" s="48">
        <v>39582</v>
      </c>
      <c r="N48" s="27"/>
      <c r="O48" s="6"/>
    </row>
    <row r="49" spans="1:15" ht="15.6" x14ac:dyDescent="0.3">
      <c r="A49" s="26"/>
      <c r="B49" s="27" t="s">
        <v>27</v>
      </c>
      <c r="C49" s="27"/>
      <c r="D49" s="27"/>
      <c r="E49" s="27"/>
      <c r="F49" s="27"/>
      <c r="G49" s="27"/>
      <c r="H49" s="27"/>
      <c r="I49" s="27"/>
      <c r="J49" s="27">
        <f>M49-K49+1</f>
        <v>92</v>
      </c>
      <c r="K49" s="48">
        <v>39583</v>
      </c>
      <c r="L49" s="49"/>
      <c r="M49" s="48">
        <v>39674</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39661</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230</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230614</v>
      </c>
      <c r="F59" s="37"/>
      <c r="G59" s="37">
        <f>12993+2527+87+805+1</f>
        <v>16413</v>
      </c>
      <c r="H59" s="37"/>
      <c r="I59" s="37">
        <f>7602+310</f>
        <v>7912</v>
      </c>
      <c r="J59" s="37"/>
      <c r="K59" s="37">
        <v>0</v>
      </c>
      <c r="L59" s="37"/>
      <c r="M59" s="56">
        <f>E59-G59+I59-K59</f>
        <v>222113</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230614</v>
      </c>
      <c r="F63" s="37"/>
      <c r="G63" s="37">
        <f>SUM(G59:G62)</f>
        <v>16413</v>
      </c>
      <c r="H63" s="37"/>
      <c r="I63" s="37">
        <f>SUM(I59:I62)</f>
        <v>7912</v>
      </c>
      <c r="J63" s="37"/>
      <c r="K63" s="37">
        <f>SUM(K59:K62)</f>
        <v>0</v>
      </c>
      <c r="L63" s="37"/>
      <c r="M63" s="57">
        <f>SUM(M59:M62)</f>
        <v>222113</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69386</v>
      </c>
      <c r="F74" s="37"/>
      <c r="G74" s="37"/>
      <c r="H74" s="37"/>
      <c r="I74" s="37"/>
      <c r="J74" s="37"/>
      <c r="K74" s="37"/>
      <c r="L74" s="37"/>
      <c r="M74" s="57">
        <f>K112-M73</f>
        <v>77887</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39660</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+'April 2008'!K112</f>
        <v>69386</v>
      </c>
      <c r="L80" s="27"/>
      <c r="M80" s="56">
        <v>0</v>
      </c>
      <c r="N80" s="27"/>
      <c r="O80" s="6"/>
    </row>
    <row r="81" spans="1:16" ht="15.6" x14ac:dyDescent="0.3">
      <c r="A81" s="26"/>
      <c r="B81" s="27" t="s">
        <v>42</v>
      </c>
      <c r="C81" s="43" t="s">
        <v>207</v>
      </c>
      <c r="D81" s="60" t="s">
        <v>207</v>
      </c>
      <c r="E81" s="61"/>
      <c r="F81" s="27"/>
      <c r="G81" s="27"/>
      <c r="H81" s="27"/>
      <c r="I81" s="27"/>
      <c r="J81" s="27"/>
      <c r="K81" s="37">
        <f>16413-805</f>
        <v>15608</v>
      </c>
      <c r="L81" s="27"/>
      <c r="M81" s="56"/>
      <c r="N81" s="27"/>
      <c r="O81" s="6"/>
    </row>
    <row r="82" spans="1:16" ht="15.6" x14ac:dyDescent="0.3">
      <c r="A82" s="26"/>
      <c r="B82" s="27" t="s">
        <v>204</v>
      </c>
      <c r="C82" s="43"/>
      <c r="D82" s="60"/>
      <c r="E82" s="61"/>
      <c r="F82" s="27"/>
      <c r="G82" s="27"/>
      <c r="H82" s="27"/>
      <c r="I82" s="27"/>
      <c r="J82" s="27"/>
      <c r="K82" s="37"/>
      <c r="L82" s="27"/>
      <c r="M82" s="56">
        <f>8235+51-2466</f>
        <v>5820</v>
      </c>
      <c r="N82" s="27"/>
      <c r="O82" s="6"/>
    </row>
    <row r="83" spans="1:16" ht="15.6" x14ac:dyDescent="0.3">
      <c r="A83" s="26"/>
      <c r="B83" s="27" t="s">
        <v>205</v>
      </c>
      <c r="C83" s="43"/>
      <c r="D83" s="60"/>
      <c r="E83" s="61"/>
      <c r="F83" s="27"/>
      <c r="G83" s="27"/>
      <c r="H83" s="27"/>
      <c r="I83" s="27"/>
      <c r="J83" s="27"/>
      <c r="K83" s="37"/>
      <c r="L83" s="27"/>
      <c r="M83" s="56">
        <f>1019+1</f>
        <v>1020</v>
      </c>
      <c r="N83" s="27"/>
      <c r="O83" s="6"/>
    </row>
    <row r="84" spans="1:16" ht="15.6" x14ac:dyDescent="0.3">
      <c r="A84" s="26"/>
      <c r="B84" s="27" t="s">
        <v>206</v>
      </c>
      <c r="C84" s="43"/>
      <c r="D84" s="60"/>
      <c r="E84" s="61"/>
      <c r="F84" s="27"/>
      <c r="G84" s="27"/>
      <c r="H84" s="27"/>
      <c r="I84" s="27"/>
      <c r="J84" s="27"/>
      <c r="K84" s="37"/>
      <c r="L84" s="27"/>
      <c r="M84" s="56">
        <v>1144</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84994</v>
      </c>
      <c r="L86" s="27"/>
      <c r="M86" s="57">
        <f>SUM(M80:M85)</f>
        <v>7984</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84994</v>
      </c>
      <c r="L88" s="27"/>
      <c r="M88" s="57">
        <f>M86+M87</f>
        <v>7984</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-18</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-87-105-3</f>
        <v>-195</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-3507</v>
      </c>
      <c r="N94" s="27"/>
      <c r="O94" s="6"/>
    </row>
    <row r="95" spans="1:16" ht="15.6" x14ac:dyDescent="0.3">
      <c r="A95" s="26">
        <v>5</v>
      </c>
      <c r="B95" s="27" t="s">
        <v>52</v>
      </c>
      <c r="C95" s="27"/>
      <c r="D95" s="27"/>
      <c r="E95" s="27"/>
      <c r="F95" s="27"/>
      <c r="G95" s="27"/>
      <c r="H95" s="27"/>
      <c r="I95" s="27"/>
      <c r="J95" s="27"/>
      <c r="K95" s="27"/>
      <c r="L95" s="27"/>
      <c r="M95" s="56">
        <v>-696</v>
      </c>
      <c r="N95" s="27"/>
      <c r="O95" s="6"/>
    </row>
    <row r="96" spans="1:16" ht="15.6" x14ac:dyDescent="0.3">
      <c r="A96" s="26">
        <v>6</v>
      </c>
      <c r="B96" s="27" t="s">
        <v>172</v>
      </c>
      <c r="C96" s="27"/>
      <c r="D96" s="27"/>
      <c r="E96" s="27"/>
      <c r="F96" s="27"/>
      <c r="G96" s="27"/>
      <c r="H96" s="27"/>
      <c r="I96" s="27"/>
      <c r="J96" s="27"/>
      <c r="K96" s="27"/>
      <c r="L96" s="27"/>
      <c r="M96" s="56">
        <v>-464</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805</v>
      </c>
      <c r="L98" s="27"/>
      <c r="M98" s="56">
        <v>-805</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-88</v>
      </c>
      <c r="N102" s="27"/>
      <c r="O102" s="6"/>
    </row>
    <row r="103" spans="1:16" ht="15.6" x14ac:dyDescent="0.3">
      <c r="A103" s="26">
        <v>13</v>
      </c>
      <c r="B103" s="27" t="s">
        <v>195</v>
      </c>
      <c r="C103" s="27"/>
      <c r="D103" s="27"/>
      <c r="E103" s="27"/>
      <c r="F103" s="27"/>
      <c r="G103" s="27"/>
      <c r="H103" s="27"/>
      <c r="I103" s="27"/>
      <c r="J103" s="27"/>
      <c r="K103" s="27"/>
      <c r="L103" s="27"/>
      <c r="M103" s="56">
        <f>-M88-SUM(M90:M102)</f>
        <v>-2204</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-310</v>
      </c>
      <c r="L106" s="37"/>
      <c r="M106" s="56"/>
      <c r="N106" s="27"/>
      <c r="O106" s="6"/>
      <c r="P106" s="117"/>
    </row>
    <row r="107" spans="1:16" ht="15.6" x14ac:dyDescent="0.3">
      <c r="A107" s="26"/>
      <c r="B107" s="27" t="s">
        <v>187</v>
      </c>
      <c r="C107" s="27"/>
      <c r="D107" s="27"/>
      <c r="E107" s="27"/>
      <c r="F107" s="27"/>
      <c r="G107" s="27"/>
      <c r="H107" s="27"/>
      <c r="I107" s="27"/>
      <c r="J107" s="27"/>
      <c r="K107" s="37">
        <v>-7602</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-7912</v>
      </c>
      <c r="L111" s="37"/>
      <c r="M111" s="37">
        <f>SUM(M89:M110)</f>
        <v>-7984</v>
      </c>
      <c r="N111" s="27"/>
      <c r="O111" s="6"/>
    </row>
    <row r="112" spans="1:16" ht="15.6" x14ac:dyDescent="0.3">
      <c r="A112" s="26"/>
      <c r="B112" s="27" t="s">
        <v>61</v>
      </c>
      <c r="C112" s="27"/>
      <c r="D112" s="27"/>
      <c r="E112" s="27"/>
      <c r="F112" s="27"/>
      <c r="G112" s="27"/>
      <c r="H112" s="27"/>
      <c r="I112" s="27"/>
      <c r="J112" s="27"/>
      <c r="K112" s="37">
        <f>K88+K111+K98</f>
        <v>77887</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JULY 2008</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65</v>
      </c>
      <c r="N138" s="27"/>
      <c r="O138" s="6"/>
    </row>
    <row r="139" spans="1:15" ht="15.6" x14ac:dyDescent="0.3">
      <c r="A139" s="26"/>
      <c r="B139" s="27" t="s">
        <v>180</v>
      </c>
      <c r="C139" s="27"/>
      <c r="D139" s="27"/>
      <c r="E139" s="27"/>
      <c r="F139" s="27"/>
      <c r="G139" s="27"/>
      <c r="H139" s="27"/>
      <c r="I139" s="27"/>
      <c r="J139" s="27"/>
      <c r="K139" s="27"/>
      <c r="L139" s="27"/>
      <c r="M139" s="56">
        <f>766-26</f>
        <v>740</v>
      </c>
      <c r="N139" s="27"/>
      <c r="O139" s="6"/>
    </row>
    <row r="140" spans="1:15" ht="15.6" x14ac:dyDescent="0.3">
      <c r="A140" s="26"/>
      <c r="B140" s="27" t="s">
        <v>77</v>
      </c>
      <c r="C140" s="27"/>
      <c r="D140" s="27"/>
      <c r="E140" s="27"/>
      <c r="F140" s="27"/>
      <c r="G140" s="27"/>
      <c r="H140" s="27"/>
      <c r="I140" s="27"/>
      <c r="J140" s="27"/>
      <c r="K140" s="27"/>
      <c r="L140" s="27"/>
      <c r="M140" s="56">
        <f>M138+M137+M139</f>
        <v>805</v>
      </c>
      <c r="N140" s="27"/>
      <c r="O140" s="6"/>
    </row>
    <row r="141" spans="1:15" ht="15.6" x14ac:dyDescent="0.3">
      <c r="A141" s="26"/>
      <c r="B141" s="27" t="s">
        <v>183</v>
      </c>
      <c r="C141" s="27"/>
      <c r="D141" s="27"/>
      <c r="E141" s="27"/>
      <c r="F141" s="27"/>
      <c r="G141" s="27"/>
      <c r="H141" s="27"/>
      <c r="I141" s="70"/>
      <c r="J141" s="27"/>
      <c r="K141" s="27"/>
      <c r="L141" s="27"/>
      <c r="M141" s="56">
        <f>M98</f>
        <v>-805</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+'April 2008'!I155</f>
        <v>6283</v>
      </c>
      <c r="J153" s="27"/>
      <c r="K153" s="56">
        <v>0</v>
      </c>
      <c r="L153" s="27"/>
      <c r="M153" s="56">
        <f>K153+I153</f>
        <v>6283</v>
      </c>
      <c r="N153" s="27"/>
      <c r="O153" s="6"/>
    </row>
    <row r="154" spans="1:16" ht="15.6" x14ac:dyDescent="0.3">
      <c r="A154" s="26"/>
      <c r="B154" s="27" t="s">
        <v>84</v>
      </c>
      <c r="C154" s="27"/>
      <c r="D154" s="27"/>
      <c r="E154" s="27"/>
      <c r="F154" s="27"/>
      <c r="G154" s="27"/>
      <c r="H154" s="27"/>
      <c r="I154" s="37">
        <v>310</v>
      </c>
      <c r="J154" s="27"/>
      <c r="K154" s="27">
        <v>0</v>
      </c>
      <c r="L154" s="27"/>
      <c r="M154" s="56">
        <f>K154+I154</f>
        <v>310</v>
      </c>
      <c r="N154" s="27"/>
      <c r="O154" s="6"/>
    </row>
    <row r="155" spans="1:16" ht="15.6" x14ac:dyDescent="0.3">
      <c r="A155" s="26"/>
      <c r="B155" s="27" t="s">
        <v>85</v>
      </c>
      <c r="C155" s="27"/>
      <c r="D155" s="27"/>
      <c r="E155" s="27"/>
      <c r="F155" s="27"/>
      <c r="G155" s="27"/>
      <c r="H155" s="27"/>
      <c r="I155" s="56">
        <f>I153+I154</f>
        <v>6593</v>
      </c>
      <c r="J155" s="27"/>
      <c r="K155" s="56">
        <f>K154+K153</f>
        <v>0</v>
      </c>
      <c r="L155" s="27"/>
      <c r="M155" s="56">
        <f>K155+I155</f>
        <v>6593</v>
      </c>
      <c r="N155" s="27"/>
      <c r="O155" s="6"/>
    </row>
    <row r="156" spans="1:16" ht="15.6" x14ac:dyDescent="0.3">
      <c r="A156" s="26"/>
      <c r="B156" s="27" t="s">
        <v>86</v>
      </c>
      <c r="C156" s="27"/>
      <c r="D156" s="27"/>
      <c r="E156" s="27"/>
      <c r="F156" s="27"/>
      <c r="G156" s="27"/>
      <c r="H156" s="27"/>
      <c r="I156" s="56">
        <f>I152-I155-K155</f>
        <v>8407</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2.2152837182777301</v>
      </c>
      <c r="N160" s="27" t="s">
        <v>145</v>
      </c>
      <c r="O160" s="6"/>
    </row>
    <row r="161" spans="1:15" ht="15.6" x14ac:dyDescent="0.3">
      <c r="A161" s="26"/>
      <c r="B161" s="27" t="s">
        <v>89</v>
      </c>
      <c r="C161" s="27"/>
      <c r="D161" s="27"/>
      <c r="E161" s="27"/>
      <c r="F161" s="27"/>
      <c r="G161" s="27"/>
      <c r="H161" s="27"/>
      <c r="I161" s="27"/>
      <c r="J161" s="27"/>
      <c r="K161" s="27"/>
      <c r="L161" s="27"/>
      <c r="M161" s="73">
        <v>2.44</v>
      </c>
      <c r="N161" s="27" t="s">
        <v>145</v>
      </c>
      <c r="O161" s="6"/>
    </row>
    <row r="162" spans="1:15" ht="15.6" x14ac:dyDescent="0.3">
      <c r="A162" s="26"/>
      <c r="B162" s="27" t="s">
        <v>90</v>
      </c>
      <c r="C162" s="27"/>
      <c r="D162" s="27"/>
      <c r="E162" s="27"/>
      <c r="F162" s="27"/>
      <c r="G162" s="27"/>
      <c r="H162" s="27"/>
      <c r="I162" s="27"/>
      <c r="J162" s="27"/>
      <c r="K162" s="27"/>
      <c r="L162" s="27"/>
      <c r="M162" s="63">
        <f>(M88+M90+M91+M92+M93+M94)/-M95</f>
        <v>6.1235632183908049</v>
      </c>
      <c r="N162" s="27" t="s">
        <v>145</v>
      </c>
      <c r="O162" s="6"/>
    </row>
    <row r="163" spans="1:15" ht="15.6" x14ac:dyDescent="0.3">
      <c r="A163" s="26"/>
      <c r="B163" s="27" t="s">
        <v>91</v>
      </c>
      <c r="C163" s="27"/>
      <c r="D163" s="27"/>
      <c r="E163" s="27"/>
      <c r="F163" s="27"/>
      <c r="G163" s="27"/>
      <c r="H163" s="27"/>
      <c r="I163" s="27"/>
      <c r="J163" s="27"/>
      <c r="K163" s="27"/>
      <c r="L163" s="27"/>
      <c r="M163" s="74">
        <v>7.18</v>
      </c>
      <c r="N163" s="27" t="s">
        <v>145</v>
      </c>
      <c r="O163" s="6"/>
    </row>
    <row r="164" spans="1:15" ht="15.6" x14ac:dyDescent="0.3">
      <c r="A164" s="26"/>
      <c r="B164" s="27" t="s">
        <v>181</v>
      </c>
      <c r="C164" s="27"/>
      <c r="D164" s="27"/>
      <c r="E164" s="27"/>
      <c r="F164" s="27"/>
      <c r="G164" s="27"/>
      <c r="H164" s="27"/>
      <c r="I164" s="27"/>
      <c r="J164" s="27"/>
      <c r="K164" s="27"/>
      <c r="L164" s="27"/>
      <c r="M164" s="63">
        <f>(M88+M90+M91+M92+M93+M94+M95)/-M96</f>
        <v>7.6853448275862073</v>
      </c>
      <c r="N164" s="27" t="s">
        <v>145</v>
      </c>
      <c r="O164" s="6"/>
    </row>
    <row r="165" spans="1:15" ht="15.6" x14ac:dyDescent="0.3">
      <c r="A165" s="26"/>
      <c r="B165" s="27" t="s">
        <v>182</v>
      </c>
      <c r="C165" s="27"/>
      <c r="D165" s="27"/>
      <c r="E165" s="27"/>
      <c r="F165" s="27"/>
      <c r="G165" s="27"/>
      <c r="H165" s="27"/>
      <c r="I165" s="27"/>
      <c r="J165" s="27"/>
      <c r="K165" s="27"/>
      <c r="L165" s="27"/>
      <c r="M165" s="74">
        <v>9.24</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JULY 2008</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39660</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0.1056</v>
      </c>
      <c r="L175" s="27"/>
      <c r="M175" s="27"/>
      <c r="N175" s="27"/>
      <c r="O175" s="6"/>
    </row>
    <row r="176" spans="1:15" ht="15.6" x14ac:dyDescent="0.3">
      <c r="A176" s="83"/>
      <c r="B176" s="84" t="s">
        <v>97</v>
      </c>
      <c r="C176" s="85"/>
      <c r="D176" s="85"/>
      <c r="E176" s="85"/>
      <c r="F176" s="85"/>
      <c r="G176" s="85"/>
      <c r="H176" s="70"/>
      <c r="I176" s="70"/>
      <c r="J176" s="70"/>
      <c r="K176" s="86">
        <f>M36</f>
        <v>6.1890000000000001E-2</v>
      </c>
      <c r="L176" s="27"/>
      <c r="M176" s="27"/>
      <c r="N176" s="27"/>
      <c r="O176" s="6"/>
    </row>
    <row r="177" spans="1:15" ht="15.6" x14ac:dyDescent="0.3">
      <c r="A177" s="83"/>
      <c r="B177" s="84" t="s">
        <v>98</v>
      </c>
      <c r="C177" s="85"/>
      <c r="D177" s="85"/>
      <c r="E177" s="85"/>
      <c r="F177" s="85"/>
      <c r="G177" s="85"/>
      <c r="H177" s="70"/>
      <c r="I177" s="70"/>
      <c r="J177" s="70"/>
      <c r="K177" s="86">
        <f>K175-K176</f>
        <v>4.3709999999999999E-2</v>
      </c>
      <c r="L177" s="27"/>
      <c r="M177" s="27"/>
      <c r="N177" s="27"/>
      <c r="O177" s="6"/>
    </row>
    <row r="178" spans="1:15" ht="15.6" x14ac:dyDescent="0.3">
      <c r="A178" s="83"/>
      <c r="B178" s="84" t="s">
        <v>211</v>
      </c>
      <c r="C178" s="85"/>
      <c r="D178" s="85"/>
      <c r="E178" s="85"/>
      <c r="F178" s="85"/>
      <c r="G178" s="85"/>
      <c r="H178" s="70"/>
      <c r="I178" s="70"/>
      <c r="J178" s="70"/>
      <c r="K178" s="86">
        <f>(+M88+M90)/E59</f>
        <v>3.4542568968059184E-2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15.31</v>
      </c>
      <c r="L183" s="27" t="s">
        <v>139</v>
      </c>
      <c r="M183" s="27"/>
      <c r="N183" s="27"/>
      <c r="O183" s="6"/>
    </row>
    <row r="184" spans="1:15" ht="15.6" x14ac:dyDescent="0.3">
      <c r="A184" s="83"/>
      <c r="B184" s="84" t="s">
        <v>103</v>
      </c>
      <c r="C184" s="85"/>
      <c r="D184" s="85"/>
      <c r="E184" s="85"/>
      <c r="F184" s="85"/>
      <c r="G184" s="85"/>
      <c r="H184" s="70"/>
      <c r="I184" s="70"/>
      <c r="J184" s="70"/>
      <c r="K184" s="138">
        <f>K81/E59</f>
        <v>6.7680192876408196E-2</v>
      </c>
      <c r="L184" s="27"/>
      <c r="M184" s="27"/>
      <c r="N184" s="27"/>
      <c r="O184" s="6"/>
    </row>
    <row r="185" spans="1:15" ht="15.6" x14ac:dyDescent="0.3">
      <c r="A185" s="83"/>
      <c r="B185" s="84" t="s">
        <v>104</v>
      </c>
      <c r="C185" s="85"/>
      <c r="D185" s="85"/>
      <c r="E185" s="85"/>
      <c r="F185" s="85"/>
      <c r="G185" s="85"/>
      <c r="H185" s="70"/>
      <c r="I185" s="70"/>
      <c r="J185" s="70"/>
      <c r="K185" s="86">
        <v>0.3785</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159">
        <v>624</v>
      </c>
      <c r="K188" s="93">
        <v>19222</v>
      </c>
      <c r="L188" s="27"/>
      <c r="M188" s="87"/>
      <c r="N188" s="94"/>
      <c r="O188" s="6"/>
    </row>
    <row r="189" spans="1:15" ht="15.6" x14ac:dyDescent="0.3">
      <c r="A189" s="92"/>
      <c r="B189" s="84" t="s">
        <v>196</v>
      </c>
      <c r="C189" s="57"/>
      <c r="D189" s="57"/>
      <c r="E189" s="57"/>
      <c r="F189" s="57"/>
      <c r="G189" s="27"/>
      <c r="H189" s="27"/>
      <c r="I189" s="27"/>
      <c r="J189" s="33">
        <v>27</v>
      </c>
      <c r="K189" s="93">
        <v>891</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7912</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805</v>
      </c>
      <c r="L193" s="27"/>
      <c r="M193" s="87"/>
      <c r="N193" s="96"/>
      <c r="O193" s="6"/>
    </row>
    <row r="194" spans="1:15" ht="15.6" x14ac:dyDescent="0.3">
      <c r="A194" s="92"/>
      <c r="B194" s="84" t="s">
        <v>111</v>
      </c>
      <c r="C194" s="57"/>
      <c r="D194" s="57"/>
      <c r="E194" s="57"/>
      <c r="F194" s="57"/>
      <c r="G194" s="57"/>
      <c r="H194" s="27"/>
      <c r="I194" s="27"/>
      <c r="J194" s="27"/>
      <c r="K194" s="93">
        <f>'April 2008'!K194+'July 2008'!K193</f>
        <v>9457</v>
      </c>
      <c r="L194" s="27"/>
      <c r="M194" s="87"/>
      <c r="N194" s="96"/>
      <c r="O194" s="6"/>
    </row>
    <row r="195" spans="1:15" ht="15.6" x14ac:dyDescent="0.3">
      <c r="A195" s="92"/>
      <c r="B195" s="84" t="s">
        <v>112</v>
      </c>
      <c r="C195" s="57"/>
      <c r="D195" s="57"/>
      <c r="E195" s="57"/>
      <c r="F195" s="57"/>
      <c r="G195" s="57"/>
      <c r="H195" s="27"/>
      <c r="I195" s="27"/>
      <c r="J195" s="27"/>
      <c r="K195" s="157">
        <f>+'April 2008'!K195+255</f>
        <v>3718</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237</v>
      </c>
      <c r="C197" s="57"/>
      <c r="D197" s="57"/>
      <c r="E197" s="84"/>
      <c r="F197" s="84"/>
      <c r="G197" s="84"/>
      <c r="H197" s="27"/>
      <c r="I197" s="27"/>
      <c r="J197" s="27"/>
      <c r="K197" s="93">
        <v>6</v>
      </c>
      <c r="L197" s="27"/>
      <c r="M197" s="87"/>
      <c r="N197" s="96"/>
      <c r="O197" s="6"/>
    </row>
    <row r="198" spans="1:15" ht="15.6" x14ac:dyDescent="0.3">
      <c r="A198" s="92"/>
      <c r="B198" s="84" t="s">
        <v>113</v>
      </c>
      <c r="C198" s="57"/>
      <c r="D198" s="57"/>
      <c r="E198" s="97"/>
      <c r="F198" s="97"/>
      <c r="G198" s="98"/>
      <c r="H198" s="27"/>
      <c r="I198" s="27"/>
      <c r="J198" s="27"/>
      <c r="K198" s="68">
        <v>14.21</v>
      </c>
      <c r="L198" s="27"/>
      <c r="M198" s="87"/>
      <c r="N198" s="96"/>
      <c r="O198" s="6"/>
    </row>
    <row r="199" spans="1:15" ht="15.6" x14ac:dyDescent="0.3">
      <c r="A199" s="92"/>
      <c r="B199" s="84" t="s">
        <v>114</v>
      </c>
      <c r="C199" s="57"/>
      <c r="D199" s="57"/>
      <c r="E199" s="97"/>
      <c r="F199" s="97"/>
      <c r="G199" s="98"/>
      <c r="H199" s="27"/>
      <c r="I199" s="27"/>
      <c r="J199" s="27"/>
      <c r="K199" s="68">
        <v>7.49</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7844</v>
      </c>
      <c r="J204" s="103">
        <f>I204/I213</f>
        <v>0.92631081719414265</v>
      </c>
      <c r="K204" s="56">
        <v>202891</v>
      </c>
      <c r="L204" s="136">
        <f>K204/K213</f>
        <v>0.91345846483546667</v>
      </c>
      <c r="M204" s="87"/>
      <c r="N204" s="96"/>
      <c r="O204" s="6"/>
    </row>
    <row r="205" spans="1:15" ht="15.6" x14ac:dyDescent="0.3">
      <c r="A205" s="26"/>
      <c r="B205" s="57" t="s">
        <v>117</v>
      </c>
      <c r="C205" s="102"/>
      <c r="D205" s="102"/>
      <c r="E205" s="57"/>
      <c r="F205" s="102"/>
      <c r="G205" s="27"/>
      <c r="H205" s="103"/>
      <c r="I205" s="57">
        <v>206</v>
      </c>
      <c r="J205" s="103">
        <f>I205/I213</f>
        <v>2.4326877657061881E-2</v>
      </c>
      <c r="K205" s="56">
        <v>6316</v>
      </c>
      <c r="L205" s="136">
        <f>K205/K213</f>
        <v>2.8435976282342772E-2</v>
      </c>
      <c r="M205" s="87"/>
      <c r="N205" s="96"/>
      <c r="O205" s="6"/>
    </row>
    <row r="206" spans="1:15" ht="15.6" x14ac:dyDescent="0.3">
      <c r="A206" s="26"/>
      <c r="B206" s="57" t="s">
        <v>118</v>
      </c>
      <c r="C206" s="102"/>
      <c r="D206" s="102"/>
      <c r="E206" s="57"/>
      <c r="F206" s="102"/>
      <c r="G206" s="27"/>
      <c r="H206" s="103"/>
      <c r="I206" s="57">
        <v>135</v>
      </c>
      <c r="J206" s="103">
        <f>I206/I213</f>
        <v>1.5942371280113367E-2</v>
      </c>
      <c r="K206" s="56">
        <v>4243</v>
      </c>
      <c r="L206" s="136">
        <f>K206/K213</f>
        <v>1.9102889069977893E-2</v>
      </c>
      <c r="M206" s="87"/>
      <c r="N206" s="96"/>
      <c r="O206" s="6"/>
    </row>
    <row r="207" spans="1:15" ht="15.6" x14ac:dyDescent="0.3">
      <c r="A207" s="26"/>
      <c r="B207" s="57" t="s">
        <v>167</v>
      </c>
      <c r="C207" s="102"/>
      <c r="D207" s="102"/>
      <c r="E207" s="57"/>
      <c r="F207" s="102"/>
      <c r="G207" s="27"/>
      <c r="H207" s="103"/>
      <c r="I207" s="57">
        <v>66</v>
      </c>
      <c r="J207" s="103">
        <f>I207/I213</f>
        <v>7.7940481813887578E-3</v>
      </c>
      <c r="K207" s="56">
        <v>1817</v>
      </c>
      <c r="L207" s="136">
        <f>K207/K213</f>
        <v>8.1805207259367987E-3</v>
      </c>
      <c r="M207" s="87"/>
      <c r="N207" s="96"/>
      <c r="O207" s="6"/>
    </row>
    <row r="208" spans="1:15" ht="15.6" x14ac:dyDescent="0.3">
      <c r="A208" s="26"/>
      <c r="B208" s="57" t="s">
        <v>168</v>
      </c>
      <c r="C208" s="102"/>
      <c r="D208" s="102"/>
      <c r="E208" s="57"/>
      <c r="F208" s="102"/>
      <c r="G208" s="27"/>
      <c r="H208" s="103"/>
      <c r="I208" s="57">
        <v>43</v>
      </c>
      <c r="J208" s="103">
        <f>I208/I213</f>
        <v>5.0779404818138878E-3</v>
      </c>
      <c r="K208" s="56">
        <v>1235</v>
      </c>
      <c r="L208" s="136">
        <f>K208/K213</f>
        <v>5.5602328544479612E-3</v>
      </c>
      <c r="M208" s="87"/>
      <c r="N208" s="96"/>
      <c r="O208" s="6"/>
    </row>
    <row r="209" spans="1:15" ht="15.6" x14ac:dyDescent="0.3">
      <c r="A209" s="26"/>
      <c r="B209" s="57" t="s">
        <v>169</v>
      </c>
      <c r="C209" s="102"/>
      <c r="D209" s="102"/>
      <c r="E209" s="57"/>
      <c r="F209" s="102"/>
      <c r="G209" s="27"/>
      <c r="H209" s="103"/>
      <c r="I209" s="57">
        <v>35</v>
      </c>
      <c r="J209" s="103">
        <f>I209/I213</f>
        <v>4.1332073689182803E-3</v>
      </c>
      <c r="K209" s="56">
        <v>1158</v>
      </c>
      <c r="L209" s="136">
        <f>K209/K213</f>
        <v>5.2135624659520154E-3</v>
      </c>
      <c r="M209" s="87"/>
      <c r="N209" s="96"/>
      <c r="O209" s="6"/>
    </row>
    <row r="210" spans="1:15" ht="15.6" x14ac:dyDescent="0.3">
      <c r="A210" s="26"/>
      <c r="B210" s="57" t="s">
        <v>176</v>
      </c>
      <c r="C210" s="102"/>
      <c r="D210" s="102"/>
      <c r="E210" s="57"/>
      <c r="F210" s="102"/>
      <c r="G210" s="27"/>
      <c r="H210" s="103"/>
      <c r="I210" s="57">
        <v>81</v>
      </c>
      <c r="J210" s="103">
        <f>I210/I213</f>
        <v>9.5654227680680212E-3</v>
      </c>
      <c r="K210" s="56">
        <v>2673</v>
      </c>
      <c r="L210" s="136">
        <f>K210/K213</f>
        <v>1.2034414914930689E-2</v>
      </c>
      <c r="M210" s="87"/>
      <c r="N210" s="94"/>
      <c r="O210" s="6"/>
    </row>
    <row r="211" spans="1:15" ht="15.6" x14ac:dyDescent="0.3">
      <c r="A211" s="26"/>
      <c r="B211" s="57" t="s">
        <v>202</v>
      </c>
      <c r="C211" s="102"/>
      <c r="D211" s="102"/>
      <c r="E211" s="57"/>
      <c r="F211" s="102"/>
      <c r="G211" s="27"/>
      <c r="H211" s="103"/>
      <c r="I211" s="57">
        <v>58</v>
      </c>
      <c r="J211" s="103">
        <f>+I211/I213</f>
        <v>6.8493150684931503E-3</v>
      </c>
      <c r="K211" s="56">
        <v>1780</v>
      </c>
      <c r="L211" s="136">
        <f>+K211/K213</f>
        <v>8.0139388509452396E-3</v>
      </c>
      <c r="M211" s="87"/>
      <c r="N211" s="94"/>
      <c r="O211" s="6"/>
    </row>
    <row r="212" spans="1:15" ht="15.6" x14ac:dyDescent="0.3">
      <c r="A212" s="26"/>
      <c r="B212" s="57" t="s">
        <v>170</v>
      </c>
      <c r="C212" s="102"/>
      <c r="D212" s="102"/>
      <c r="E212" s="57"/>
      <c r="F212" s="102"/>
      <c r="G212" s="3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37"/>
      <c r="H213" s="27"/>
      <c r="I213" s="37">
        <f>SUM(I204:I212)</f>
        <v>8468</v>
      </c>
      <c r="J213" s="136">
        <f>SUM(J204:J212)</f>
        <v>1</v>
      </c>
      <c r="K213" s="56">
        <f>SUM(K204:K212)</f>
        <v>222113</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8468</v>
      </c>
      <c r="J215" s="136"/>
      <c r="K215" s="56">
        <f>+K213+K214</f>
        <v>222113</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JULY 2008</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D00-000000000000}"/>
    <hyperlink ref="K201" r:id="rId2" xr:uid="{00000000-0004-0000-0D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39776</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146658.98939999999</v>
      </c>
      <c r="D32" s="39"/>
      <c r="E32" s="38">
        <v>42000</v>
      </c>
      <c r="F32" s="38"/>
      <c r="G32" s="38">
        <v>27000</v>
      </c>
      <c r="H32" s="38"/>
      <c r="I32" s="38"/>
      <c r="J32" s="38"/>
      <c r="K32" s="38"/>
      <c r="L32" s="40"/>
      <c r="M32" s="34">
        <f>C32+E32+G32</f>
        <v>215658.98939999999</v>
      </c>
      <c r="N32" s="37"/>
      <c r="O32" s="6"/>
    </row>
    <row r="33" spans="1:15" ht="15.6" x14ac:dyDescent="0.3">
      <c r="A33" s="30"/>
      <c r="B33" s="130" t="s">
        <v>174</v>
      </c>
      <c r="C33" s="134">
        <v>0.63488739999999999</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5.96188E-2</v>
      </c>
      <c r="D36" s="27"/>
      <c r="E36" s="41">
        <v>6.5118800000000004E-2</v>
      </c>
      <c r="F36" s="42"/>
      <c r="G36" s="41">
        <v>6.7618800000000007E-2</v>
      </c>
      <c r="H36" s="42"/>
      <c r="I36" s="41"/>
      <c r="J36" s="42"/>
      <c r="K36" s="41"/>
      <c r="L36" s="142"/>
      <c r="M36" s="42">
        <f>SUMPRODUCT(C36:G36,C31:G31)/M31</f>
        <v>6.1108800000000012E-2</v>
      </c>
      <c r="N36" s="27"/>
      <c r="O36" s="6"/>
    </row>
    <row r="37" spans="1:15" ht="15.6" x14ac:dyDescent="0.3">
      <c r="A37" s="26"/>
      <c r="B37" s="27" t="s">
        <v>19</v>
      </c>
      <c r="C37" s="41">
        <v>6.0400000000000002E-2</v>
      </c>
      <c r="D37" s="27"/>
      <c r="E37" s="41">
        <v>6.59E-2</v>
      </c>
      <c r="F37" s="42"/>
      <c r="G37" s="41">
        <v>6.8400000000000002E-2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0.47047917268683975</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39769</v>
      </c>
      <c r="N47" s="27"/>
      <c r="O47" s="6"/>
    </row>
    <row r="48" spans="1:15" ht="15.6" x14ac:dyDescent="0.3">
      <c r="A48" s="26"/>
      <c r="B48" s="27" t="s">
        <v>26</v>
      </c>
      <c r="C48" s="27"/>
      <c r="D48" s="27"/>
      <c r="E48" s="27"/>
      <c r="F48" s="27"/>
      <c r="G48" s="27"/>
      <c r="H48" s="27"/>
      <c r="I48" s="27"/>
      <c r="J48" s="27">
        <f>M48-K48+1</f>
        <v>92</v>
      </c>
      <c r="K48" s="48">
        <v>39583</v>
      </c>
      <c r="L48" s="49"/>
      <c r="M48" s="48">
        <v>39674</v>
      </c>
      <c r="N48" s="27"/>
      <c r="O48" s="6"/>
    </row>
    <row r="49" spans="1:15" ht="15.6" x14ac:dyDescent="0.3">
      <c r="A49" s="26"/>
      <c r="B49" s="27" t="s">
        <v>27</v>
      </c>
      <c r="C49" s="27"/>
      <c r="D49" s="27"/>
      <c r="E49" s="27"/>
      <c r="F49" s="27"/>
      <c r="G49" s="27"/>
      <c r="H49" s="27"/>
      <c r="I49" s="27"/>
      <c r="J49" s="27">
        <f>M49-K49+1</f>
        <v>94</v>
      </c>
      <c r="K49" s="48">
        <v>39675</v>
      </c>
      <c r="L49" s="49"/>
      <c r="M49" s="48">
        <v>39768</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39755</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231</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222113</v>
      </c>
      <c r="F59" s="37"/>
      <c r="G59" s="37">
        <f>8471+2349+33+1113</f>
        <v>11966</v>
      </c>
      <c r="H59" s="37"/>
      <c r="I59" s="37">
        <f>5252+260</f>
        <v>5512</v>
      </c>
      <c r="J59" s="37"/>
      <c r="K59" s="37">
        <v>0</v>
      </c>
      <c r="L59" s="37"/>
      <c r="M59" s="56">
        <f>E59-G59+I59-K59</f>
        <v>215659</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222113</v>
      </c>
      <c r="F63" s="37"/>
      <c r="G63" s="37">
        <f>SUM(G59:G62)</f>
        <v>11966</v>
      </c>
      <c r="H63" s="37"/>
      <c r="I63" s="37">
        <f>SUM(I59:I62)</f>
        <v>5512</v>
      </c>
      <c r="J63" s="37"/>
      <c r="K63" s="37">
        <f>SUM(K59:K62)</f>
        <v>0</v>
      </c>
      <c r="L63" s="37"/>
      <c r="M63" s="57">
        <f>SUM(M59:M62)</f>
        <v>215659</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69386</v>
      </c>
      <c r="F74" s="37"/>
      <c r="G74" s="37"/>
      <c r="H74" s="37"/>
      <c r="I74" s="37"/>
      <c r="J74" s="37"/>
      <c r="K74" s="37"/>
      <c r="L74" s="37"/>
      <c r="M74" s="57">
        <f>K112-M73</f>
        <v>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291499</v>
      </c>
      <c r="F76" s="37"/>
      <c r="G76" s="57"/>
      <c r="H76" s="37"/>
      <c r="I76" s="57"/>
      <c r="J76" s="37"/>
      <c r="K76" s="57"/>
      <c r="L76" s="37"/>
      <c r="M76" s="57">
        <f>SUM(M63:M75)</f>
        <v>215659</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39752</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+'July 2008'!K112</f>
        <v>77887</v>
      </c>
      <c r="L80" s="27"/>
      <c r="M80" s="56">
        <v>0</v>
      </c>
      <c r="N80" s="27"/>
      <c r="O80" s="6"/>
    </row>
    <row r="81" spans="1:16" ht="15.6" x14ac:dyDescent="0.3">
      <c r="A81" s="26"/>
      <c r="B81" s="27" t="s">
        <v>42</v>
      </c>
      <c r="C81" s="43" t="s">
        <v>207</v>
      </c>
      <c r="D81" s="60" t="s">
        <v>207</v>
      </c>
      <c r="E81" s="61"/>
      <c r="F81" s="27"/>
      <c r="G81" s="27"/>
      <c r="H81" s="27"/>
      <c r="I81" s="27"/>
      <c r="J81" s="27"/>
      <c r="K81" s="37">
        <f>11966-1113</f>
        <v>10853</v>
      </c>
      <c r="L81" s="27"/>
      <c r="M81" s="56"/>
      <c r="N81" s="27"/>
      <c r="O81" s="6"/>
    </row>
    <row r="82" spans="1:16" ht="15.6" x14ac:dyDescent="0.3">
      <c r="A82" s="26"/>
      <c r="B82" s="27" t="s">
        <v>204</v>
      </c>
      <c r="C82" s="43"/>
      <c r="D82" s="60"/>
      <c r="E82" s="61"/>
      <c r="F82" s="27"/>
      <c r="G82" s="27"/>
      <c r="H82" s="27"/>
      <c r="I82" s="27"/>
      <c r="J82" s="27"/>
      <c r="K82" s="37"/>
      <c r="L82" s="27"/>
      <c r="M82" s="56">
        <f>8053+56-2300</f>
        <v>5809</v>
      </c>
      <c r="N82" s="27"/>
      <c r="O82" s="6"/>
    </row>
    <row r="83" spans="1:16" ht="15.6" x14ac:dyDescent="0.3">
      <c r="A83" s="26"/>
      <c r="B83" s="27" t="s">
        <v>205</v>
      </c>
      <c r="C83" s="43"/>
      <c r="D83" s="60"/>
      <c r="E83" s="61"/>
      <c r="F83" s="27"/>
      <c r="G83" s="27"/>
      <c r="H83" s="27"/>
      <c r="I83" s="27"/>
      <c r="J83" s="27"/>
      <c r="K83" s="37"/>
      <c r="L83" s="27"/>
      <c r="M83" s="56">
        <f>726</f>
        <v>726</v>
      </c>
      <c r="N83" s="27"/>
      <c r="O83" s="6"/>
    </row>
    <row r="84" spans="1:16" ht="15.6" x14ac:dyDescent="0.3">
      <c r="A84" s="26"/>
      <c r="B84" s="27" t="s">
        <v>206</v>
      </c>
      <c r="C84" s="43"/>
      <c r="D84" s="60"/>
      <c r="E84" s="61"/>
      <c r="F84" s="27"/>
      <c r="G84" s="27"/>
      <c r="H84" s="27"/>
      <c r="I84" s="27"/>
      <c r="J84" s="27"/>
      <c r="K84" s="37"/>
      <c r="L84" s="27"/>
      <c r="M84" s="56">
        <v>866</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88740</v>
      </c>
      <c r="L86" s="27"/>
      <c r="M86" s="57">
        <f>SUM(M80:M85)</f>
        <v>7401</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88740</v>
      </c>
      <c r="L88" s="27"/>
      <c r="M88" s="57">
        <f>M86+M87</f>
        <v>7401</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-9</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-85-101-3</f>
        <v>-189</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-3537</v>
      </c>
      <c r="N94" s="27"/>
      <c r="O94" s="6"/>
    </row>
    <row r="95" spans="1:16" ht="15.6" x14ac:dyDescent="0.3">
      <c r="A95" s="26">
        <v>5</v>
      </c>
      <c r="B95" s="27" t="s">
        <v>52</v>
      </c>
      <c r="C95" s="27"/>
      <c r="D95" s="27"/>
      <c r="E95" s="27"/>
      <c r="F95" s="27"/>
      <c r="G95" s="27"/>
      <c r="H95" s="27"/>
      <c r="I95" s="27"/>
      <c r="J95" s="27"/>
      <c r="K95" s="27"/>
      <c r="L95" s="27"/>
      <c r="M95" s="56">
        <v>-702</v>
      </c>
      <c r="N95" s="27"/>
      <c r="O95" s="6"/>
    </row>
    <row r="96" spans="1:16" ht="15.6" x14ac:dyDescent="0.3">
      <c r="A96" s="26">
        <v>6</v>
      </c>
      <c r="B96" s="27" t="s">
        <v>172</v>
      </c>
      <c r="C96" s="27"/>
      <c r="D96" s="27"/>
      <c r="E96" s="27"/>
      <c r="F96" s="27"/>
      <c r="G96" s="27"/>
      <c r="H96" s="27"/>
      <c r="I96" s="27"/>
      <c r="J96" s="27"/>
      <c r="K96" s="27"/>
      <c r="L96" s="27"/>
      <c r="M96" s="56">
        <v>-469</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1113</v>
      </c>
      <c r="L98" s="27"/>
      <c r="M98" s="56">
        <v>-1113</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-85</v>
      </c>
      <c r="N102" s="27"/>
      <c r="O102" s="6"/>
    </row>
    <row r="103" spans="1:16" ht="15.6" x14ac:dyDescent="0.3">
      <c r="A103" s="26">
        <v>13</v>
      </c>
      <c r="B103" s="27" t="s">
        <v>195</v>
      </c>
      <c r="C103" s="27"/>
      <c r="D103" s="27"/>
      <c r="E103" s="27"/>
      <c r="F103" s="27"/>
      <c r="G103" s="27"/>
      <c r="H103" s="27"/>
      <c r="I103" s="27"/>
      <c r="J103" s="27"/>
      <c r="K103" s="27"/>
      <c r="L103" s="27"/>
      <c r="M103" s="56">
        <f>-M88-SUM(M90:M102)</f>
        <v>-1290</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-260</v>
      </c>
      <c r="L106" s="37"/>
      <c r="M106" s="56"/>
      <c r="N106" s="27"/>
      <c r="O106" s="6"/>
      <c r="P106" s="117"/>
    </row>
    <row r="107" spans="1:16" ht="15.6" x14ac:dyDescent="0.3">
      <c r="A107" s="26"/>
      <c r="B107" s="27" t="s">
        <v>187</v>
      </c>
      <c r="C107" s="27"/>
      <c r="D107" s="27"/>
      <c r="E107" s="27"/>
      <c r="F107" s="27"/>
      <c r="G107" s="27"/>
      <c r="H107" s="27"/>
      <c r="I107" s="27"/>
      <c r="J107" s="27"/>
      <c r="K107" s="37">
        <v>-5252</v>
      </c>
      <c r="L107" s="37"/>
      <c r="M107" s="56"/>
      <c r="N107" s="27"/>
      <c r="O107" s="6"/>
    </row>
    <row r="108" spans="1:16" ht="15.6" x14ac:dyDescent="0.3">
      <c r="A108" s="26"/>
      <c r="B108" s="27" t="s">
        <v>185</v>
      </c>
      <c r="C108" s="27"/>
      <c r="D108" s="27"/>
      <c r="E108" s="27"/>
      <c r="F108" s="27"/>
      <c r="G108" s="27"/>
      <c r="H108" s="27"/>
      <c r="I108" s="27"/>
      <c r="J108" s="27"/>
      <c r="K108" s="37">
        <v>-84341</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+K106+K107+K108</f>
        <v>-89853</v>
      </c>
      <c r="L111" s="37"/>
      <c r="M111" s="37">
        <f>SUM(M89:M110)</f>
        <v>-7401</v>
      </c>
      <c r="N111" s="27"/>
      <c r="O111" s="6"/>
    </row>
    <row r="112" spans="1:16" ht="15.6" x14ac:dyDescent="0.3">
      <c r="A112" s="26"/>
      <c r="B112" s="27" t="s">
        <v>61</v>
      </c>
      <c r="C112" s="27"/>
      <c r="D112" s="27"/>
      <c r="E112" s="27"/>
      <c r="F112" s="27"/>
      <c r="G112" s="27"/>
      <c r="H112" s="27"/>
      <c r="I112" s="27"/>
      <c r="J112" s="27"/>
      <c r="K112" s="37">
        <f>K88+K111+K98</f>
        <v>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OCTOBER 2008</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-148</v>
      </c>
      <c r="N138" s="27"/>
      <c r="O138" s="6"/>
    </row>
    <row r="139" spans="1:15" ht="15.6" x14ac:dyDescent="0.3">
      <c r="A139" s="26"/>
      <c r="B139" s="27" t="s">
        <v>180</v>
      </c>
      <c r="C139" s="27"/>
      <c r="D139" s="27"/>
      <c r="E139" s="27"/>
      <c r="F139" s="27"/>
      <c r="G139" s="27"/>
      <c r="H139" s="27"/>
      <c r="I139" s="27"/>
      <c r="J139" s="27"/>
      <c r="K139" s="27"/>
      <c r="L139" s="27"/>
      <c r="M139" s="56">
        <f>1382-121</f>
        <v>1261</v>
      </c>
      <c r="N139" s="27"/>
      <c r="O139" s="6"/>
    </row>
    <row r="140" spans="1:15" ht="15.6" x14ac:dyDescent="0.3">
      <c r="A140" s="26"/>
      <c r="B140" s="27" t="s">
        <v>77</v>
      </c>
      <c r="C140" s="27"/>
      <c r="D140" s="27"/>
      <c r="E140" s="27"/>
      <c r="F140" s="27"/>
      <c r="G140" s="27"/>
      <c r="H140" s="27"/>
      <c r="I140" s="27"/>
      <c r="J140" s="27"/>
      <c r="K140" s="27"/>
      <c r="L140" s="27"/>
      <c r="M140" s="56">
        <f>M138+M137+M139</f>
        <v>1113</v>
      </c>
      <c r="N140" s="27"/>
      <c r="O140" s="6"/>
    </row>
    <row r="141" spans="1:15" ht="15.6" x14ac:dyDescent="0.3">
      <c r="A141" s="26"/>
      <c r="B141" s="27" t="s">
        <v>183</v>
      </c>
      <c r="C141" s="27"/>
      <c r="D141" s="27"/>
      <c r="E141" s="27"/>
      <c r="F141" s="27"/>
      <c r="G141" s="27"/>
      <c r="H141" s="27"/>
      <c r="I141" s="70"/>
      <c r="J141" s="27"/>
      <c r="K141" s="27"/>
      <c r="L141" s="27"/>
      <c r="M141" s="56">
        <f>M98</f>
        <v>-1113</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215659</v>
      </c>
      <c r="N147" s="27"/>
      <c r="O147" s="6"/>
      <c r="P147" s="117"/>
    </row>
    <row r="148" spans="1:16" ht="15.6" x14ac:dyDescent="0.3">
      <c r="A148" s="26"/>
      <c r="B148" s="27" t="s">
        <v>80</v>
      </c>
      <c r="C148" s="71"/>
      <c r="D148" s="71"/>
      <c r="E148" s="27"/>
      <c r="F148" s="27"/>
      <c r="G148" s="27"/>
      <c r="H148" s="27"/>
      <c r="I148" s="27"/>
      <c r="J148" s="27"/>
      <c r="K148" s="27"/>
      <c r="L148" s="27"/>
      <c r="M148" s="56">
        <f>M76</f>
        <v>215659</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+'July 2008'!I155</f>
        <v>6593</v>
      </c>
      <c r="J153" s="27"/>
      <c r="K153" s="56">
        <v>0</v>
      </c>
      <c r="L153" s="27"/>
      <c r="M153" s="56">
        <f>K153+I153</f>
        <v>6593</v>
      </c>
      <c r="N153" s="27"/>
      <c r="O153" s="6"/>
    </row>
    <row r="154" spans="1:16" ht="15.6" x14ac:dyDescent="0.3">
      <c r="A154" s="26"/>
      <c r="B154" s="27" t="s">
        <v>84</v>
      </c>
      <c r="C154" s="27"/>
      <c r="D154" s="27"/>
      <c r="E154" s="27"/>
      <c r="F154" s="27"/>
      <c r="G154" s="27"/>
      <c r="H154" s="27"/>
      <c r="I154" s="37">
        <v>260</v>
      </c>
      <c r="J154" s="27"/>
      <c r="K154" s="27">
        <v>0</v>
      </c>
      <c r="L154" s="27"/>
      <c r="M154" s="56">
        <f>K154+I154</f>
        <v>260</v>
      </c>
      <c r="N154" s="27"/>
      <c r="O154" s="6"/>
    </row>
    <row r="155" spans="1:16" ht="15.6" x14ac:dyDescent="0.3">
      <c r="A155" s="26"/>
      <c r="B155" s="27" t="s">
        <v>85</v>
      </c>
      <c r="C155" s="27"/>
      <c r="D155" s="27"/>
      <c r="E155" s="27"/>
      <c r="F155" s="27"/>
      <c r="G155" s="27"/>
      <c r="H155" s="27"/>
      <c r="I155" s="56">
        <f>I153+I154</f>
        <v>6853</v>
      </c>
      <c r="J155" s="27"/>
      <c r="K155" s="56">
        <f>K154+K153</f>
        <v>0</v>
      </c>
      <c r="L155" s="27"/>
      <c r="M155" s="56">
        <f>K155+I155</f>
        <v>6853</v>
      </c>
      <c r="N155" s="27"/>
      <c r="O155" s="6"/>
    </row>
    <row r="156" spans="1:16" ht="15.6" x14ac:dyDescent="0.3">
      <c r="A156" s="26"/>
      <c r="B156" s="27" t="s">
        <v>86</v>
      </c>
      <c r="C156" s="27"/>
      <c r="D156" s="27"/>
      <c r="E156" s="27"/>
      <c r="F156" s="27"/>
      <c r="G156" s="27"/>
      <c r="H156" s="27"/>
      <c r="I156" s="56">
        <f>I152-I155-K155</f>
        <v>8147</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2.0359061351427763</v>
      </c>
      <c r="N160" s="27" t="s">
        <v>145</v>
      </c>
      <c r="O160" s="6"/>
    </row>
    <row r="161" spans="1:15" ht="15.6" x14ac:dyDescent="0.3">
      <c r="A161" s="26"/>
      <c r="B161" s="27" t="s">
        <v>89</v>
      </c>
      <c r="C161" s="27"/>
      <c r="D161" s="27"/>
      <c r="E161" s="27"/>
      <c r="F161" s="27"/>
      <c r="G161" s="27"/>
      <c r="H161" s="27"/>
      <c r="I161" s="27"/>
      <c r="J161" s="27"/>
      <c r="K161" s="27"/>
      <c r="L161" s="27"/>
      <c r="M161" s="73">
        <v>2.41</v>
      </c>
      <c r="N161" s="27" t="s">
        <v>145</v>
      </c>
      <c r="O161" s="6"/>
    </row>
    <row r="162" spans="1:15" ht="15.6" x14ac:dyDescent="0.3">
      <c r="A162" s="26"/>
      <c r="B162" s="27" t="s">
        <v>90</v>
      </c>
      <c r="C162" s="27"/>
      <c r="D162" s="27"/>
      <c r="E162" s="27"/>
      <c r="F162" s="27"/>
      <c r="G162" s="27"/>
      <c r="H162" s="27"/>
      <c r="I162" s="27"/>
      <c r="J162" s="27"/>
      <c r="K162" s="27"/>
      <c r="L162" s="27"/>
      <c r="M162" s="63">
        <f>(M88+M90+M91+M92+M93+M94)/-M95</f>
        <v>5.2193732193732192</v>
      </c>
      <c r="N162" s="27" t="s">
        <v>145</v>
      </c>
      <c r="O162" s="6"/>
    </row>
    <row r="163" spans="1:15" ht="15.6" x14ac:dyDescent="0.3">
      <c r="A163" s="26"/>
      <c r="B163" s="27" t="s">
        <v>91</v>
      </c>
      <c r="C163" s="27"/>
      <c r="D163" s="27"/>
      <c r="E163" s="27"/>
      <c r="F163" s="27"/>
      <c r="G163" s="27"/>
      <c r="H163" s="27"/>
      <c r="I163" s="27"/>
      <c r="J163" s="27"/>
      <c r="K163" s="27"/>
      <c r="L163" s="27"/>
      <c r="M163" s="74">
        <v>7.05</v>
      </c>
      <c r="N163" s="27" t="s">
        <v>145</v>
      </c>
      <c r="O163" s="6"/>
    </row>
    <row r="164" spans="1:15" ht="15.6" x14ac:dyDescent="0.3">
      <c r="A164" s="26"/>
      <c r="B164" s="27" t="s">
        <v>181</v>
      </c>
      <c r="C164" s="27"/>
      <c r="D164" s="27"/>
      <c r="E164" s="27"/>
      <c r="F164" s="27"/>
      <c r="G164" s="27"/>
      <c r="H164" s="27"/>
      <c r="I164" s="27"/>
      <c r="J164" s="27"/>
      <c r="K164" s="27"/>
      <c r="L164" s="27"/>
      <c r="M164" s="63">
        <f>(M88+M90+M91+M92+M93+M94+M95)/-M96</f>
        <v>6.3155650319829428</v>
      </c>
      <c r="N164" s="27" t="s">
        <v>145</v>
      </c>
      <c r="O164" s="6"/>
    </row>
    <row r="165" spans="1:15" ht="15.6" x14ac:dyDescent="0.3">
      <c r="A165" s="26"/>
      <c r="B165" s="27" t="s">
        <v>182</v>
      </c>
      <c r="C165" s="27"/>
      <c r="D165" s="27"/>
      <c r="E165" s="27"/>
      <c r="F165" s="27"/>
      <c r="G165" s="27"/>
      <c r="H165" s="27"/>
      <c r="I165" s="27"/>
      <c r="J165" s="27"/>
      <c r="K165" s="27"/>
      <c r="L165" s="27"/>
      <c r="M165" s="74">
        <v>9.0299999999999994</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OCTOBER 2008</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39752</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0.1057</v>
      </c>
      <c r="L175" s="27"/>
      <c r="M175" s="27"/>
      <c r="N175" s="27"/>
      <c r="O175" s="6"/>
    </row>
    <row r="176" spans="1:15" ht="15.6" x14ac:dyDescent="0.3">
      <c r="A176" s="83"/>
      <c r="B176" s="84" t="s">
        <v>97</v>
      </c>
      <c r="C176" s="85"/>
      <c r="D176" s="85"/>
      <c r="E176" s="85"/>
      <c r="F176" s="85"/>
      <c r="G176" s="85"/>
      <c r="H176" s="70"/>
      <c r="I176" s="70"/>
      <c r="J176" s="70"/>
      <c r="K176" s="86">
        <f>M36</f>
        <v>6.1108800000000012E-2</v>
      </c>
      <c r="L176" s="27"/>
      <c r="M176" s="27"/>
      <c r="N176" s="27"/>
      <c r="O176" s="6"/>
    </row>
    <row r="177" spans="1:15" ht="15.6" x14ac:dyDescent="0.3">
      <c r="A177" s="83"/>
      <c r="B177" s="84" t="s">
        <v>98</v>
      </c>
      <c r="C177" s="85"/>
      <c r="D177" s="85"/>
      <c r="E177" s="85"/>
      <c r="F177" s="85"/>
      <c r="G177" s="85"/>
      <c r="H177" s="70"/>
      <c r="I177" s="70"/>
      <c r="J177" s="70"/>
      <c r="K177" s="86">
        <f>K175-K176</f>
        <v>4.4591199999999991E-2</v>
      </c>
      <c r="L177" s="27"/>
      <c r="M177" s="27"/>
      <c r="N177" s="27"/>
      <c r="O177" s="6"/>
    </row>
    <row r="178" spans="1:15" ht="15.6" x14ac:dyDescent="0.3">
      <c r="A178" s="83"/>
      <c r="B178" s="84" t="s">
        <v>211</v>
      </c>
      <c r="C178" s="85"/>
      <c r="D178" s="85"/>
      <c r="E178" s="85"/>
      <c r="F178" s="85"/>
      <c r="G178" s="85"/>
      <c r="H178" s="70"/>
      <c r="I178" s="70"/>
      <c r="J178" s="70"/>
      <c r="K178" s="86">
        <f>(+M88+M90)/E59</f>
        <v>3.3280357295610789E-2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15.16</v>
      </c>
      <c r="L183" s="27" t="s">
        <v>139</v>
      </c>
      <c r="M183" s="27"/>
      <c r="N183" s="27"/>
      <c r="O183" s="6"/>
    </row>
    <row r="184" spans="1:15" ht="15.6" x14ac:dyDescent="0.3">
      <c r="A184" s="83"/>
      <c r="B184" s="84" t="s">
        <v>103</v>
      </c>
      <c r="C184" s="85"/>
      <c r="D184" s="85"/>
      <c r="E184" s="85"/>
      <c r="F184" s="85"/>
      <c r="G184" s="85"/>
      <c r="H184" s="70"/>
      <c r="I184" s="70"/>
      <c r="J184" s="70"/>
      <c r="K184" s="138">
        <f>K81/E59</f>
        <v>4.8862515926577914E-2</v>
      </c>
      <c r="L184" s="27"/>
      <c r="M184" s="27"/>
      <c r="N184" s="27"/>
      <c r="O184" s="6"/>
    </row>
    <row r="185" spans="1:15" ht="15.6" x14ac:dyDescent="0.3">
      <c r="A185" s="83"/>
      <c r="B185" s="84" t="s">
        <v>104</v>
      </c>
      <c r="C185" s="85"/>
      <c r="D185" s="85"/>
      <c r="E185" s="85"/>
      <c r="F185" s="85"/>
      <c r="G185" s="85"/>
      <c r="H185" s="70"/>
      <c r="I185" s="70"/>
      <c r="J185" s="70"/>
      <c r="K185" s="86">
        <v>0.36749999999999999</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159">
        <v>669</v>
      </c>
      <c r="K188" s="93">
        <v>20968</v>
      </c>
      <c r="L188" s="27"/>
      <c r="M188" s="87"/>
      <c r="N188" s="94"/>
      <c r="O188" s="6"/>
    </row>
    <row r="189" spans="1:15" ht="15.6" x14ac:dyDescent="0.3">
      <c r="A189" s="92"/>
      <c r="B189" s="84" t="s">
        <v>196</v>
      </c>
      <c r="C189" s="57"/>
      <c r="D189" s="57"/>
      <c r="E189" s="57"/>
      <c r="F189" s="57"/>
      <c r="G189" s="27"/>
      <c r="H189" s="27"/>
      <c r="I189" s="27"/>
      <c r="J189" s="33">
        <v>25</v>
      </c>
      <c r="K189" s="93">
        <v>807</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5512</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1113</v>
      </c>
      <c r="L193" s="27"/>
      <c r="M193" s="87"/>
      <c r="N193" s="96"/>
      <c r="O193" s="6"/>
    </row>
    <row r="194" spans="1:15" ht="15.6" x14ac:dyDescent="0.3">
      <c r="A194" s="92"/>
      <c r="B194" s="84" t="s">
        <v>111</v>
      </c>
      <c r="C194" s="57"/>
      <c r="D194" s="57"/>
      <c r="E194" s="57"/>
      <c r="F194" s="57"/>
      <c r="G194" s="57"/>
      <c r="H194" s="27"/>
      <c r="I194" s="27"/>
      <c r="J194" s="27"/>
      <c r="K194" s="93">
        <f>'July 2008'!K194+'Oct 2008'!K193</f>
        <v>10570</v>
      </c>
      <c r="L194" s="27"/>
      <c r="M194" s="87"/>
      <c r="N194" s="96"/>
      <c r="O194" s="6"/>
    </row>
    <row r="195" spans="1:15" ht="15.6" x14ac:dyDescent="0.3">
      <c r="A195" s="92"/>
      <c r="B195" s="84" t="s">
        <v>112</v>
      </c>
      <c r="C195" s="57"/>
      <c r="D195" s="57"/>
      <c r="E195" s="57"/>
      <c r="F195" s="57"/>
      <c r="G195" s="57"/>
      <c r="H195" s="27"/>
      <c r="I195" s="27"/>
      <c r="J195" s="27"/>
      <c r="K195" s="157">
        <f>+'July 2008'!K195+356</f>
        <v>4074</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10</v>
      </c>
      <c r="L197" s="27"/>
      <c r="M197" s="87"/>
      <c r="N197" s="96"/>
      <c r="O197" s="6"/>
    </row>
    <row r="198" spans="1:15" ht="15.6" x14ac:dyDescent="0.3">
      <c r="A198" s="92"/>
      <c r="B198" s="84" t="s">
        <v>113</v>
      </c>
      <c r="C198" s="57"/>
      <c r="D198" s="57"/>
      <c r="E198" s="97"/>
      <c r="F198" s="97"/>
      <c r="G198" s="98"/>
      <c r="H198" s="27"/>
      <c r="I198" s="27"/>
      <c r="J198" s="27"/>
      <c r="K198" s="68">
        <v>14.64</v>
      </c>
      <c r="L198" s="27"/>
      <c r="M198" s="87"/>
      <c r="N198" s="96"/>
      <c r="O198" s="6"/>
    </row>
    <row r="199" spans="1:15" ht="15.6" x14ac:dyDescent="0.3">
      <c r="A199" s="92"/>
      <c r="B199" s="84" t="s">
        <v>114</v>
      </c>
      <c r="C199" s="57"/>
      <c r="D199" s="57"/>
      <c r="E199" s="97"/>
      <c r="F199" s="97"/>
      <c r="G199" s="98"/>
      <c r="H199" s="27"/>
      <c r="I199" s="27"/>
      <c r="J199" s="27"/>
      <c r="K199" s="68">
        <v>6.27</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7600</v>
      </c>
      <c r="J204" s="103">
        <f>I204/I213</f>
        <v>0.91909541661627769</v>
      </c>
      <c r="K204" s="56">
        <v>194691</v>
      </c>
      <c r="L204" s="136">
        <f>K204/K213</f>
        <v>0.90277243240486138</v>
      </c>
      <c r="M204" s="87"/>
      <c r="N204" s="96"/>
      <c r="O204" s="6"/>
    </row>
    <row r="205" spans="1:15" ht="15.6" x14ac:dyDescent="0.3">
      <c r="A205" s="26"/>
      <c r="B205" s="57" t="s">
        <v>117</v>
      </c>
      <c r="C205" s="102"/>
      <c r="D205" s="102"/>
      <c r="E205" s="57"/>
      <c r="F205" s="102"/>
      <c r="G205" s="27"/>
      <c r="H205" s="103"/>
      <c r="I205" s="57">
        <v>250</v>
      </c>
      <c r="J205" s="103">
        <f>I205/I213</f>
        <v>3.0233401862377555E-2</v>
      </c>
      <c r="K205" s="56">
        <v>7746</v>
      </c>
      <c r="L205" s="136">
        <f>K205/K213</f>
        <v>3.5917814698204112E-2</v>
      </c>
      <c r="M205" s="87"/>
      <c r="N205" s="96"/>
      <c r="O205" s="6"/>
    </row>
    <row r="206" spans="1:15" ht="15.6" x14ac:dyDescent="0.3">
      <c r="A206" s="26"/>
      <c r="B206" s="57" t="s">
        <v>118</v>
      </c>
      <c r="C206" s="102"/>
      <c r="D206" s="102"/>
      <c r="E206" s="57"/>
      <c r="F206" s="102"/>
      <c r="G206" s="27"/>
      <c r="H206" s="103"/>
      <c r="I206" s="57">
        <v>118</v>
      </c>
      <c r="J206" s="103">
        <f>I206/I213</f>
        <v>1.4270165679042206E-2</v>
      </c>
      <c r="K206" s="56">
        <v>3578</v>
      </c>
      <c r="L206" s="136">
        <f>K206/K213</f>
        <v>1.6591007099170451E-2</v>
      </c>
      <c r="M206" s="87"/>
      <c r="N206" s="94"/>
      <c r="O206" s="6"/>
    </row>
    <row r="207" spans="1:15" ht="15.6" x14ac:dyDescent="0.3">
      <c r="A207" s="26"/>
      <c r="B207" s="57" t="s">
        <v>167</v>
      </c>
      <c r="C207" s="102"/>
      <c r="D207" s="102"/>
      <c r="E207" s="57"/>
      <c r="F207" s="102"/>
      <c r="G207" s="27"/>
      <c r="H207" s="103"/>
      <c r="I207" s="57">
        <v>65</v>
      </c>
      <c r="J207" s="103">
        <f>I207/I213</f>
        <v>7.8606844842181636E-3</v>
      </c>
      <c r="K207" s="56">
        <v>1899</v>
      </c>
      <c r="L207" s="136">
        <f>K207/K213</f>
        <v>8.8055680495597224E-3</v>
      </c>
      <c r="M207" s="87"/>
      <c r="N207" s="96"/>
      <c r="O207" s="6"/>
    </row>
    <row r="208" spans="1:15" ht="15.6" x14ac:dyDescent="0.3">
      <c r="A208" s="26"/>
      <c r="B208" s="57" t="s">
        <v>168</v>
      </c>
      <c r="C208" s="102"/>
      <c r="D208" s="102"/>
      <c r="E208" s="57"/>
      <c r="F208" s="102"/>
      <c r="G208" s="27"/>
      <c r="H208" s="103"/>
      <c r="I208" s="57">
        <v>59</v>
      </c>
      <c r="J208" s="103">
        <f>I208/I213</f>
        <v>7.1350828395211029E-3</v>
      </c>
      <c r="K208" s="56">
        <v>1750</v>
      </c>
      <c r="L208" s="136">
        <f>K208/K213</f>
        <v>8.1146624995942669E-3</v>
      </c>
      <c r="M208" s="87"/>
      <c r="N208" s="96"/>
      <c r="O208" s="6"/>
    </row>
    <row r="209" spans="1:15" ht="15.6" x14ac:dyDescent="0.3">
      <c r="A209" s="26"/>
      <c r="B209" s="57" t="s">
        <v>169</v>
      </c>
      <c r="C209" s="102"/>
      <c r="D209" s="102"/>
      <c r="E209" s="57"/>
      <c r="F209" s="102"/>
      <c r="G209" s="27"/>
      <c r="H209" s="103"/>
      <c r="I209" s="57">
        <v>41</v>
      </c>
      <c r="J209" s="103">
        <f>I209/I213</f>
        <v>4.9582779054299191E-3</v>
      </c>
      <c r="K209" s="56">
        <v>1340</v>
      </c>
      <c r="L209" s="136">
        <f>K209/K213</f>
        <v>6.2135129996893244E-3</v>
      </c>
      <c r="M209" s="87"/>
      <c r="N209" s="96"/>
      <c r="O209" s="6"/>
    </row>
    <row r="210" spans="1:15" ht="15.6" x14ac:dyDescent="0.3">
      <c r="A210" s="26"/>
      <c r="B210" s="57" t="s">
        <v>176</v>
      </c>
      <c r="C210" s="102"/>
      <c r="D210" s="102"/>
      <c r="E210" s="57"/>
      <c r="F210" s="102"/>
      <c r="G210" s="27"/>
      <c r="H210" s="103"/>
      <c r="I210" s="57">
        <v>82</v>
      </c>
      <c r="J210" s="103">
        <f>I210/I213</f>
        <v>9.9165558108598381E-3</v>
      </c>
      <c r="K210" s="56">
        <v>2736</v>
      </c>
      <c r="L210" s="136">
        <f>K210/K213</f>
        <v>1.2686695199365666E-2</v>
      </c>
      <c r="M210" s="87"/>
      <c r="N210" s="94"/>
      <c r="O210" s="6"/>
    </row>
    <row r="211" spans="1:15" ht="15.6" x14ac:dyDescent="0.3">
      <c r="A211" s="26"/>
      <c r="B211" s="57" t="s">
        <v>202</v>
      </c>
      <c r="C211" s="102"/>
      <c r="D211" s="102"/>
      <c r="E211" s="57"/>
      <c r="F211" s="102"/>
      <c r="G211" s="27"/>
      <c r="H211" s="103"/>
      <c r="I211" s="57">
        <v>54</v>
      </c>
      <c r="J211" s="103">
        <f>+I211/I213</f>
        <v>6.5304148022735514E-3</v>
      </c>
      <c r="K211" s="56">
        <v>1919</v>
      </c>
      <c r="L211" s="136">
        <f>+K211/K213</f>
        <v>8.8983070495550851E-3</v>
      </c>
      <c r="M211" s="87"/>
      <c r="N211" s="94"/>
      <c r="O211" s="6"/>
    </row>
    <row r="212" spans="1:15" ht="15.6" x14ac:dyDescent="0.3">
      <c r="A212" s="26"/>
      <c r="B212" s="57" t="s">
        <v>170</v>
      </c>
      <c r="C212" s="102"/>
      <c r="D212" s="102"/>
      <c r="E212" s="57"/>
      <c r="F212" s="102"/>
      <c r="G212" s="3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37"/>
      <c r="H213" s="27"/>
      <c r="I213" s="37">
        <f>SUM(I204:I212)</f>
        <v>8269</v>
      </c>
      <c r="J213" s="136">
        <f>SUM(J204:J212)</f>
        <v>1</v>
      </c>
      <c r="K213" s="56">
        <f>SUM(K204:K212)</f>
        <v>215659</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232</v>
      </c>
      <c r="C215" s="27"/>
      <c r="D215" s="27"/>
      <c r="E215" s="27"/>
      <c r="F215" s="27"/>
      <c r="G215" s="27"/>
      <c r="H215" s="27"/>
      <c r="I215" s="37"/>
      <c r="J215" s="136">
        <v>1.06</v>
      </c>
      <c r="K215" s="56"/>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OCTOBER 2008</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E00-000000000000}"/>
    <hyperlink ref="K201" r:id="rId2" xr:uid="{00000000-0004-0000-0E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39867</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146658.98939999999</v>
      </c>
      <c r="D31" s="35"/>
      <c r="E31" s="34">
        <v>42000</v>
      </c>
      <c r="F31" s="34"/>
      <c r="G31" s="34">
        <v>27000</v>
      </c>
      <c r="H31" s="34"/>
      <c r="I31" s="34"/>
      <c r="J31" s="34"/>
      <c r="K31" s="34"/>
      <c r="L31" s="143"/>
      <c r="M31" s="34">
        <f>C31+E31+G31</f>
        <v>215658.98939999999</v>
      </c>
      <c r="N31" s="37"/>
      <c r="O31" s="6"/>
    </row>
    <row r="32" spans="1:15" ht="15.6" x14ac:dyDescent="0.3">
      <c r="A32" s="30"/>
      <c r="B32" s="31" t="s">
        <v>16</v>
      </c>
      <c r="C32" s="38">
        <f>C30*C33</f>
        <v>138434.9736</v>
      </c>
      <c r="D32" s="39"/>
      <c r="E32" s="38">
        <v>42000</v>
      </c>
      <c r="F32" s="38"/>
      <c r="G32" s="38">
        <v>27000</v>
      </c>
      <c r="H32" s="38"/>
      <c r="I32" s="38"/>
      <c r="J32" s="38"/>
      <c r="K32" s="38"/>
      <c r="L32" s="40"/>
      <c r="M32" s="34">
        <f>C32+E32+G32</f>
        <v>207434.9736</v>
      </c>
      <c r="N32" s="37"/>
      <c r="O32" s="6"/>
    </row>
    <row r="33" spans="1:15" ht="15.6" x14ac:dyDescent="0.3">
      <c r="A33" s="30"/>
      <c r="B33" s="130" t="s">
        <v>174</v>
      </c>
      <c r="C33" s="134">
        <v>0.59928559999999997</v>
      </c>
      <c r="D33" s="133"/>
      <c r="E33" s="134">
        <v>1</v>
      </c>
      <c r="F33" s="134"/>
      <c r="G33" s="134">
        <v>1</v>
      </c>
      <c r="H33" s="132"/>
      <c r="I33" s="132"/>
      <c r="J33" s="38"/>
      <c r="K33" s="38"/>
      <c r="L33" s="40"/>
      <c r="M33" s="38"/>
      <c r="N33" s="37"/>
      <c r="O33" s="6"/>
    </row>
    <row r="34" spans="1:15" ht="15.6" x14ac:dyDescent="0.3">
      <c r="A34" s="30"/>
      <c r="B34" s="130" t="s">
        <v>175</v>
      </c>
      <c r="C34" s="134">
        <v>0.63488739999999999</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4.3487499999999998E-2</v>
      </c>
      <c r="D36" s="27"/>
      <c r="E36" s="41">
        <v>4.8987500000000003E-2</v>
      </c>
      <c r="F36" s="42"/>
      <c r="G36" s="41">
        <v>5.1487499999999999E-2</v>
      </c>
      <c r="H36" s="42"/>
      <c r="I36" s="41"/>
      <c r="J36" s="42"/>
      <c r="K36" s="41"/>
      <c r="L36" s="142"/>
      <c r="M36" s="42">
        <f>SUMPRODUCT(C36:G36,C31:G31)/M31</f>
        <v>4.5560216751773859E-2</v>
      </c>
      <c r="N36" s="27"/>
      <c r="O36" s="6"/>
    </row>
    <row r="37" spans="1:15" ht="15.6" x14ac:dyDescent="0.3">
      <c r="A37" s="26"/>
      <c r="B37" s="27" t="s">
        <v>19</v>
      </c>
      <c r="C37" s="41">
        <v>5.96188E-2</v>
      </c>
      <c r="D37" s="27"/>
      <c r="E37" s="41">
        <v>6.5118800000000004E-2</v>
      </c>
      <c r="F37" s="42"/>
      <c r="G37" s="41">
        <v>6.7618800000000007E-2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0.4984289605845672</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39860</v>
      </c>
      <c r="N47" s="27"/>
      <c r="O47" s="6"/>
    </row>
    <row r="48" spans="1:15" ht="15.6" x14ac:dyDescent="0.3">
      <c r="A48" s="26"/>
      <c r="B48" s="27" t="s">
        <v>26</v>
      </c>
      <c r="C48" s="27"/>
      <c r="D48" s="27"/>
      <c r="E48" s="27"/>
      <c r="F48" s="27"/>
      <c r="G48" s="27"/>
      <c r="H48" s="27"/>
      <c r="I48" s="27"/>
      <c r="J48" s="27">
        <f>M48-K48+1</f>
        <v>94</v>
      </c>
      <c r="K48" s="48">
        <v>39675</v>
      </c>
      <c r="L48" s="49"/>
      <c r="M48" s="48">
        <v>39768</v>
      </c>
      <c r="N48" s="27"/>
      <c r="O48" s="6"/>
    </row>
    <row r="49" spans="1:15" ht="15.6" x14ac:dyDescent="0.3">
      <c r="A49" s="26"/>
      <c r="B49" s="27" t="s">
        <v>27</v>
      </c>
      <c r="C49" s="27"/>
      <c r="D49" s="27"/>
      <c r="E49" s="27"/>
      <c r="F49" s="27"/>
      <c r="G49" s="27"/>
      <c r="H49" s="27"/>
      <c r="I49" s="27"/>
      <c r="J49" s="27">
        <f>M49-K49+1</f>
        <v>91</v>
      </c>
      <c r="K49" s="48">
        <v>39769</v>
      </c>
      <c r="L49" s="49"/>
      <c r="M49" s="48">
        <v>39859</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39846</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233</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215659</v>
      </c>
      <c r="F59" s="37"/>
      <c r="G59" s="37">
        <f>4273+2391+18+1738+1</f>
        <v>8421</v>
      </c>
      <c r="H59" s="37"/>
      <c r="I59" s="37">
        <v>197</v>
      </c>
      <c r="J59" s="37"/>
      <c r="K59" s="37">
        <v>0</v>
      </c>
      <c r="L59" s="37"/>
      <c r="M59" s="56">
        <f>E59-G59+I59-K59</f>
        <v>207435</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215659</v>
      </c>
      <c r="F63" s="37"/>
      <c r="G63" s="37">
        <f>SUM(G59:G62)</f>
        <v>8421</v>
      </c>
      <c r="H63" s="37"/>
      <c r="I63" s="37">
        <f>SUM(I59:I62)</f>
        <v>197</v>
      </c>
      <c r="J63" s="37"/>
      <c r="K63" s="37">
        <f>SUM(K59:K62)</f>
        <v>0</v>
      </c>
      <c r="L63" s="37"/>
      <c r="M63" s="57">
        <f>SUM(M59:M62)</f>
        <v>207435</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0</v>
      </c>
      <c r="F74" s="37"/>
      <c r="G74" s="37"/>
      <c r="H74" s="37"/>
      <c r="I74" s="37"/>
      <c r="J74" s="37"/>
      <c r="K74" s="37"/>
      <c r="L74" s="37"/>
      <c r="M74" s="57">
        <f>K112-M73</f>
        <v>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215659</v>
      </c>
      <c r="F76" s="37"/>
      <c r="G76" s="57"/>
      <c r="H76" s="37"/>
      <c r="I76" s="57"/>
      <c r="J76" s="37"/>
      <c r="K76" s="57"/>
      <c r="L76" s="37"/>
      <c r="M76" s="57">
        <f>SUM(M63:M75)</f>
        <v>207435</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39843</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+'Oct 2008'!K112</f>
        <v>0</v>
      </c>
      <c r="L80" s="27"/>
      <c r="M80" s="56">
        <v>0</v>
      </c>
      <c r="N80" s="27"/>
      <c r="O80" s="6"/>
    </row>
    <row r="81" spans="1:16" ht="15.6" x14ac:dyDescent="0.3">
      <c r="A81" s="26"/>
      <c r="B81" s="27" t="s">
        <v>42</v>
      </c>
      <c r="C81" s="43" t="s">
        <v>207</v>
      </c>
      <c r="D81" s="60" t="s">
        <v>207</v>
      </c>
      <c r="E81" s="61"/>
      <c r="F81" s="27"/>
      <c r="G81" s="27"/>
      <c r="H81" s="27"/>
      <c r="I81" s="27"/>
      <c r="J81" s="27"/>
      <c r="K81" s="37">
        <f>8421-1738</f>
        <v>6683</v>
      </c>
      <c r="L81" s="27"/>
      <c r="M81" s="56"/>
      <c r="N81" s="27"/>
      <c r="O81" s="6"/>
    </row>
    <row r="82" spans="1:16" ht="15.6" x14ac:dyDescent="0.3">
      <c r="A82" s="26"/>
      <c r="B82" s="27" t="s">
        <v>204</v>
      </c>
      <c r="C82" s="43"/>
      <c r="D82" s="60"/>
      <c r="E82" s="61"/>
      <c r="F82" s="27"/>
      <c r="G82" s="27"/>
      <c r="H82" s="27"/>
      <c r="I82" s="27"/>
      <c r="J82" s="27"/>
      <c r="K82" s="37"/>
      <c r="L82" s="27"/>
      <c r="M82" s="56">
        <f>7658+116-2331</f>
        <v>5443</v>
      </c>
      <c r="N82" s="27"/>
      <c r="O82" s="6"/>
    </row>
    <row r="83" spans="1:16" ht="15.6" x14ac:dyDescent="0.3">
      <c r="A83" s="26"/>
      <c r="B83" s="27" t="s">
        <v>205</v>
      </c>
      <c r="C83" s="43"/>
      <c r="D83" s="60"/>
      <c r="E83" s="61"/>
      <c r="F83" s="27"/>
      <c r="G83" s="27"/>
      <c r="H83" s="27"/>
      <c r="I83" s="27"/>
      <c r="J83" s="27"/>
      <c r="K83" s="37"/>
      <c r="L83" s="27"/>
      <c r="M83" s="56">
        <v>418</v>
      </c>
      <c r="N83" s="27"/>
      <c r="O83" s="6"/>
    </row>
    <row r="84" spans="1:16" ht="15.6" x14ac:dyDescent="0.3">
      <c r="A84" s="26"/>
      <c r="B84" s="27" t="s">
        <v>206</v>
      </c>
      <c r="C84" s="43"/>
      <c r="D84" s="60"/>
      <c r="E84" s="61"/>
      <c r="F84" s="27"/>
      <c r="G84" s="27"/>
      <c r="H84" s="27"/>
      <c r="I84" s="27"/>
      <c r="J84" s="27"/>
      <c r="K84" s="37"/>
      <c r="L84" s="27"/>
      <c r="M84" s="56">
        <v>863</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6683</v>
      </c>
      <c r="L86" s="27"/>
      <c r="M86" s="57">
        <f>SUM(M80:M85)</f>
        <v>6724</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6683</v>
      </c>
      <c r="L88" s="27"/>
      <c r="M88" s="57">
        <f>M86+M87</f>
        <v>6724</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0</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-82-100-3</f>
        <v>-185</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-1590</v>
      </c>
      <c r="N94" s="27"/>
      <c r="O94" s="6"/>
    </row>
    <row r="95" spans="1:16" ht="15.6" x14ac:dyDescent="0.3">
      <c r="A95" s="26">
        <v>5</v>
      </c>
      <c r="B95" s="27" t="s">
        <v>52</v>
      </c>
      <c r="C95" s="27"/>
      <c r="D95" s="27"/>
      <c r="E95" s="27"/>
      <c r="F95" s="27"/>
      <c r="G95" s="27"/>
      <c r="H95" s="27"/>
      <c r="I95" s="27"/>
      <c r="J95" s="27"/>
      <c r="K95" s="27"/>
      <c r="L95" s="27"/>
      <c r="M95" s="56">
        <v>-513</v>
      </c>
      <c r="N95" s="27"/>
      <c r="O95" s="6"/>
    </row>
    <row r="96" spans="1:16" ht="15.6" x14ac:dyDescent="0.3">
      <c r="A96" s="26">
        <v>6</v>
      </c>
      <c r="B96" s="27" t="s">
        <v>172</v>
      </c>
      <c r="C96" s="27"/>
      <c r="D96" s="27"/>
      <c r="E96" s="27"/>
      <c r="F96" s="27"/>
      <c r="G96" s="27"/>
      <c r="H96" s="27"/>
      <c r="I96" s="27"/>
      <c r="J96" s="27"/>
      <c r="K96" s="27"/>
      <c r="L96" s="27"/>
      <c r="M96" s="56">
        <v>-347</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1738</v>
      </c>
      <c r="L98" s="27"/>
      <c r="M98" s="56">
        <v>-1738</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-82</v>
      </c>
      <c r="N102" s="27"/>
      <c r="O102" s="6"/>
    </row>
    <row r="103" spans="1:16" ht="15.6" x14ac:dyDescent="0.3">
      <c r="A103" s="26">
        <v>13</v>
      </c>
      <c r="B103" s="27" t="s">
        <v>195</v>
      </c>
      <c r="C103" s="27"/>
      <c r="D103" s="27"/>
      <c r="E103" s="27"/>
      <c r="F103" s="27"/>
      <c r="G103" s="27"/>
      <c r="H103" s="27"/>
      <c r="I103" s="27"/>
      <c r="J103" s="27"/>
      <c r="K103" s="27"/>
      <c r="L103" s="27"/>
      <c r="M103" s="56">
        <f>-M88-SUM(M90:M102)</f>
        <v>-2262</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-197</v>
      </c>
      <c r="L106" s="37"/>
      <c r="M106" s="56"/>
      <c r="N106" s="27"/>
      <c r="O106" s="6"/>
      <c r="P106" s="117"/>
    </row>
    <row r="107" spans="1:16" ht="15.6" x14ac:dyDescent="0.3">
      <c r="A107" s="26"/>
      <c r="B107" s="27" t="s">
        <v>187</v>
      </c>
      <c r="C107" s="27"/>
      <c r="D107" s="27"/>
      <c r="E107" s="27"/>
      <c r="F107" s="27"/>
      <c r="G107" s="27"/>
      <c r="H107" s="27"/>
      <c r="I107" s="27"/>
      <c r="J107" s="27"/>
      <c r="K107" s="37">
        <v>0</v>
      </c>
      <c r="L107" s="37"/>
      <c r="M107" s="56"/>
      <c r="N107" s="27"/>
      <c r="O107" s="6"/>
    </row>
    <row r="108" spans="1:16" ht="15.6" x14ac:dyDescent="0.3">
      <c r="A108" s="26"/>
      <c r="B108" s="27" t="s">
        <v>185</v>
      </c>
      <c r="C108" s="27"/>
      <c r="D108" s="27"/>
      <c r="E108" s="27"/>
      <c r="F108" s="27"/>
      <c r="G108" s="27"/>
      <c r="H108" s="27"/>
      <c r="I108" s="27"/>
      <c r="J108" s="27"/>
      <c r="K108" s="37">
        <v>-8224</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+K106+K107+K108</f>
        <v>-8421</v>
      </c>
      <c r="L111" s="37"/>
      <c r="M111" s="37">
        <f>SUM(M89:M110)</f>
        <v>-6724</v>
      </c>
      <c r="N111" s="27"/>
      <c r="O111" s="6"/>
    </row>
    <row r="112" spans="1:16" ht="15.6" x14ac:dyDescent="0.3">
      <c r="A112" s="26"/>
      <c r="B112" s="27" t="s">
        <v>61</v>
      </c>
      <c r="C112" s="27"/>
      <c r="D112" s="27"/>
      <c r="E112" s="27"/>
      <c r="F112" s="27"/>
      <c r="G112" s="27"/>
      <c r="H112" s="27"/>
      <c r="I112" s="27"/>
      <c r="J112" s="27"/>
      <c r="K112" s="37">
        <f>K88+K111+K98</f>
        <v>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JANUARY 2009</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692</v>
      </c>
      <c r="N138" s="27"/>
      <c r="O138" s="6"/>
    </row>
    <row r="139" spans="1:15" ht="15.6" x14ac:dyDescent="0.3">
      <c r="A139" s="26"/>
      <c r="B139" s="27" t="s">
        <v>180</v>
      </c>
      <c r="C139" s="27"/>
      <c r="D139" s="27"/>
      <c r="E139" s="27"/>
      <c r="F139" s="27"/>
      <c r="G139" s="27"/>
      <c r="H139" s="27"/>
      <c r="I139" s="27"/>
      <c r="J139" s="27"/>
      <c r="K139" s="27"/>
      <c r="L139" s="27"/>
      <c r="M139" s="56">
        <f>1004+42</f>
        <v>1046</v>
      </c>
      <c r="N139" s="27"/>
      <c r="O139" s="6"/>
    </row>
    <row r="140" spans="1:15" ht="15.6" x14ac:dyDescent="0.3">
      <c r="A140" s="26"/>
      <c r="B140" s="27" t="s">
        <v>77</v>
      </c>
      <c r="C140" s="27"/>
      <c r="D140" s="27"/>
      <c r="E140" s="27"/>
      <c r="F140" s="27"/>
      <c r="G140" s="27"/>
      <c r="H140" s="27"/>
      <c r="I140" s="27"/>
      <c r="J140" s="27"/>
      <c r="K140" s="27"/>
      <c r="L140" s="27"/>
      <c r="M140" s="56">
        <f>M138+M137+M139</f>
        <v>1738</v>
      </c>
      <c r="N140" s="27"/>
      <c r="O140" s="6"/>
    </row>
    <row r="141" spans="1:15" ht="15.6" x14ac:dyDescent="0.3">
      <c r="A141" s="26"/>
      <c r="B141" s="27" t="s">
        <v>183</v>
      </c>
      <c r="C141" s="27"/>
      <c r="D141" s="27"/>
      <c r="E141" s="27"/>
      <c r="F141" s="27"/>
      <c r="G141" s="27"/>
      <c r="H141" s="27"/>
      <c r="I141" s="70"/>
      <c r="J141" s="27"/>
      <c r="K141" s="27"/>
      <c r="L141" s="27"/>
      <c r="M141" s="56">
        <f>M98</f>
        <v>-1738</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207435</v>
      </c>
      <c r="N147" s="27"/>
      <c r="O147" s="6"/>
      <c r="P147" s="117"/>
    </row>
    <row r="148" spans="1:16" ht="15.6" x14ac:dyDescent="0.3">
      <c r="A148" s="26"/>
      <c r="B148" s="27" t="s">
        <v>80</v>
      </c>
      <c r="C148" s="71"/>
      <c r="D148" s="71"/>
      <c r="E148" s="27"/>
      <c r="F148" s="27"/>
      <c r="G148" s="27"/>
      <c r="H148" s="27"/>
      <c r="I148" s="27"/>
      <c r="J148" s="27"/>
      <c r="K148" s="27"/>
      <c r="L148" s="27"/>
      <c r="M148" s="56">
        <f>M76</f>
        <v>207435</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+'Oct 2008'!I155</f>
        <v>6853</v>
      </c>
      <c r="J153" s="27"/>
      <c r="K153" s="56">
        <v>0</v>
      </c>
      <c r="L153" s="27"/>
      <c r="M153" s="56">
        <f>K153+I153</f>
        <v>6853</v>
      </c>
      <c r="N153" s="27"/>
      <c r="O153" s="6"/>
    </row>
    <row r="154" spans="1:16" ht="15.6" x14ac:dyDescent="0.3">
      <c r="A154" s="26"/>
      <c r="B154" s="27" t="s">
        <v>84</v>
      </c>
      <c r="C154" s="27"/>
      <c r="D154" s="27"/>
      <c r="E154" s="27"/>
      <c r="F154" s="27"/>
      <c r="G154" s="27"/>
      <c r="H154" s="27"/>
      <c r="I154" s="37">
        <v>197</v>
      </c>
      <c r="J154" s="27"/>
      <c r="K154" s="27">
        <v>0</v>
      </c>
      <c r="L154" s="27"/>
      <c r="M154" s="56">
        <f>K154+I154</f>
        <v>197</v>
      </c>
      <c r="N154" s="27"/>
      <c r="O154" s="6"/>
    </row>
    <row r="155" spans="1:16" ht="15.6" x14ac:dyDescent="0.3">
      <c r="A155" s="26"/>
      <c r="B155" s="27" t="s">
        <v>85</v>
      </c>
      <c r="C155" s="27"/>
      <c r="D155" s="27"/>
      <c r="E155" s="27"/>
      <c r="F155" s="27"/>
      <c r="G155" s="27"/>
      <c r="H155" s="27"/>
      <c r="I155" s="56">
        <f>I153+I154</f>
        <v>7050</v>
      </c>
      <c r="J155" s="27"/>
      <c r="K155" s="56">
        <f>K154+K153</f>
        <v>0</v>
      </c>
      <c r="L155" s="27"/>
      <c r="M155" s="56">
        <f>K155+I155</f>
        <v>7050</v>
      </c>
      <c r="N155" s="27"/>
      <c r="O155" s="6"/>
    </row>
    <row r="156" spans="1:16" ht="15.6" x14ac:dyDescent="0.3">
      <c r="A156" s="26"/>
      <c r="B156" s="27" t="s">
        <v>86</v>
      </c>
      <c r="C156" s="27"/>
      <c r="D156" s="27"/>
      <c r="E156" s="27"/>
      <c r="F156" s="27"/>
      <c r="G156" s="27"/>
      <c r="H156" s="27"/>
      <c r="I156" s="56">
        <f>I152-I155-K155</f>
        <v>7950</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4.1113207547169814</v>
      </c>
      <c r="N160" s="27" t="s">
        <v>145</v>
      </c>
      <c r="O160" s="6"/>
    </row>
    <row r="161" spans="1:15" ht="15.6" x14ac:dyDescent="0.3">
      <c r="A161" s="26"/>
      <c r="B161" s="27" t="s">
        <v>89</v>
      </c>
      <c r="C161" s="27"/>
      <c r="D161" s="27"/>
      <c r="E161" s="27"/>
      <c r="F161" s="27"/>
      <c r="G161" s="27"/>
      <c r="H161" s="27"/>
      <c r="I161" s="27"/>
      <c r="J161" s="27"/>
      <c r="K161" s="27"/>
      <c r="L161" s="27"/>
      <c r="M161" s="73">
        <v>2.46</v>
      </c>
      <c r="N161" s="27" t="s">
        <v>145</v>
      </c>
      <c r="O161" s="6"/>
    </row>
    <row r="162" spans="1:15" ht="15.6" x14ac:dyDescent="0.3">
      <c r="A162" s="26"/>
      <c r="B162" s="27" t="s">
        <v>90</v>
      </c>
      <c r="C162" s="27"/>
      <c r="D162" s="27"/>
      <c r="E162" s="27"/>
      <c r="F162" s="27"/>
      <c r="G162" s="27"/>
      <c r="H162" s="27"/>
      <c r="I162" s="27"/>
      <c r="J162" s="27"/>
      <c r="K162" s="27"/>
      <c r="L162" s="27"/>
      <c r="M162" s="63">
        <f>(M88+M90+M91+M92+M93+M94)/-M95</f>
        <v>9.6432748538011701</v>
      </c>
      <c r="N162" s="27" t="s">
        <v>145</v>
      </c>
      <c r="O162" s="6"/>
    </row>
    <row r="163" spans="1:15" ht="15.6" x14ac:dyDescent="0.3">
      <c r="A163" s="26"/>
      <c r="B163" s="27" t="s">
        <v>91</v>
      </c>
      <c r="C163" s="27"/>
      <c r="D163" s="27"/>
      <c r="E163" s="27"/>
      <c r="F163" s="27"/>
      <c r="G163" s="27"/>
      <c r="H163" s="27"/>
      <c r="I163" s="27"/>
      <c r="J163" s="27"/>
      <c r="K163" s="27"/>
      <c r="L163" s="27"/>
      <c r="M163" s="74">
        <v>7.17</v>
      </c>
      <c r="N163" s="27" t="s">
        <v>145</v>
      </c>
      <c r="O163" s="6"/>
    </row>
    <row r="164" spans="1:15" ht="15.6" x14ac:dyDescent="0.3">
      <c r="A164" s="26"/>
      <c r="B164" s="27" t="s">
        <v>181</v>
      </c>
      <c r="C164" s="27"/>
      <c r="D164" s="27"/>
      <c r="E164" s="27"/>
      <c r="F164" s="27"/>
      <c r="G164" s="27"/>
      <c r="H164" s="27"/>
      <c r="I164" s="27"/>
      <c r="J164" s="27"/>
      <c r="K164" s="27"/>
      <c r="L164" s="27"/>
      <c r="M164" s="63">
        <f>(M88+M90+M91+M92+M93+M94+M95)/-M96</f>
        <v>12.778097982708934</v>
      </c>
      <c r="N164" s="27" t="s">
        <v>145</v>
      </c>
      <c r="O164" s="6"/>
    </row>
    <row r="165" spans="1:15" ht="15.6" x14ac:dyDescent="0.3">
      <c r="A165" s="26"/>
      <c r="B165" s="27" t="s">
        <v>182</v>
      </c>
      <c r="C165" s="27"/>
      <c r="D165" s="27"/>
      <c r="E165" s="27"/>
      <c r="F165" s="27"/>
      <c r="G165" s="27"/>
      <c r="H165" s="27"/>
      <c r="I165" s="27"/>
      <c r="J165" s="27"/>
      <c r="K165" s="27"/>
      <c r="L165" s="27"/>
      <c r="M165" s="74">
        <v>9.2200000000000006</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JANUARY 2009</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39843</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0.1056</v>
      </c>
      <c r="L175" s="27"/>
      <c r="M175" s="27"/>
      <c r="N175" s="27"/>
      <c r="O175" s="6"/>
    </row>
    <row r="176" spans="1:15" ht="15.6" x14ac:dyDescent="0.3">
      <c r="A176" s="83"/>
      <c r="B176" s="84" t="s">
        <v>97</v>
      </c>
      <c r="C176" s="85"/>
      <c r="D176" s="85"/>
      <c r="E176" s="85"/>
      <c r="F176" s="85"/>
      <c r="G176" s="85"/>
      <c r="H176" s="70"/>
      <c r="I176" s="70"/>
      <c r="J176" s="70"/>
      <c r="K176" s="86">
        <f>M36</f>
        <v>4.5560216751773859E-2</v>
      </c>
      <c r="L176" s="27"/>
      <c r="M176" s="27"/>
      <c r="N176" s="27"/>
      <c r="O176" s="6"/>
    </row>
    <row r="177" spans="1:15" ht="15.6" x14ac:dyDescent="0.3">
      <c r="A177" s="83"/>
      <c r="B177" s="84" t="s">
        <v>98</v>
      </c>
      <c r="C177" s="85"/>
      <c r="D177" s="85"/>
      <c r="E177" s="85"/>
      <c r="F177" s="85"/>
      <c r="G177" s="85"/>
      <c r="H177" s="70"/>
      <c r="I177" s="70"/>
      <c r="J177" s="70"/>
      <c r="K177" s="86">
        <f>K175-K176</f>
        <v>6.003978324822614E-2</v>
      </c>
      <c r="L177" s="27"/>
      <c r="M177" s="27"/>
      <c r="N177" s="27"/>
      <c r="O177" s="6"/>
    </row>
    <row r="178" spans="1:15" ht="15.6" x14ac:dyDescent="0.3">
      <c r="A178" s="83"/>
      <c r="B178" s="84" t="s">
        <v>211</v>
      </c>
      <c r="C178" s="85"/>
      <c r="D178" s="85"/>
      <c r="E178" s="85"/>
      <c r="F178" s="85"/>
      <c r="G178" s="85"/>
      <c r="H178" s="70"/>
      <c r="I178" s="70"/>
      <c r="J178" s="70"/>
      <c r="K178" s="86">
        <f>(+M88+M90)/E59</f>
        <v>3.1178851798441057E-2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15.01</v>
      </c>
      <c r="L183" s="27" t="s">
        <v>139</v>
      </c>
      <c r="M183" s="27"/>
      <c r="N183" s="27"/>
      <c r="O183" s="6"/>
    </row>
    <row r="184" spans="1:15" ht="15.6" x14ac:dyDescent="0.3">
      <c r="A184" s="83"/>
      <c r="B184" s="84" t="s">
        <v>103</v>
      </c>
      <c r="C184" s="85"/>
      <c r="D184" s="85"/>
      <c r="E184" s="85"/>
      <c r="F184" s="85"/>
      <c r="G184" s="85"/>
      <c r="H184" s="70"/>
      <c r="I184" s="70"/>
      <c r="J184" s="70"/>
      <c r="K184" s="138">
        <f>K81/E59</f>
        <v>3.0988736848450563E-2</v>
      </c>
      <c r="L184" s="27"/>
      <c r="M184" s="27"/>
      <c r="N184" s="27"/>
      <c r="O184" s="6"/>
    </row>
    <row r="185" spans="1:15" ht="15.6" x14ac:dyDescent="0.3">
      <c r="A185" s="83"/>
      <c r="B185" s="84" t="s">
        <v>104</v>
      </c>
      <c r="C185" s="85"/>
      <c r="D185" s="85"/>
      <c r="E185" s="85"/>
      <c r="F185" s="85"/>
      <c r="G185" s="85"/>
      <c r="H185" s="70"/>
      <c r="I185" s="70"/>
      <c r="J185" s="70"/>
      <c r="K185" s="86">
        <v>0.35460000000000003</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159">
        <v>777</v>
      </c>
      <c r="K188" s="93">
        <v>23624</v>
      </c>
      <c r="L188" s="27"/>
      <c r="M188" s="87"/>
      <c r="N188" s="94"/>
      <c r="O188" s="6"/>
    </row>
    <row r="189" spans="1:15" ht="15.6" x14ac:dyDescent="0.3">
      <c r="A189" s="92"/>
      <c r="B189" s="84" t="s">
        <v>196</v>
      </c>
      <c r="C189" s="57"/>
      <c r="D189" s="57"/>
      <c r="E189" s="57"/>
      <c r="F189" s="57"/>
      <c r="G189" s="27"/>
      <c r="H189" s="27"/>
      <c r="I189" s="27"/>
      <c r="J189" s="33">
        <v>21</v>
      </c>
      <c r="K189" s="93">
        <v>627</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197</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1738</v>
      </c>
      <c r="L193" s="27"/>
      <c r="M193" s="87"/>
      <c r="N193" s="96"/>
      <c r="O193" s="6"/>
    </row>
    <row r="194" spans="1:15" ht="15.6" x14ac:dyDescent="0.3">
      <c r="A194" s="92"/>
      <c r="B194" s="84" t="s">
        <v>111</v>
      </c>
      <c r="C194" s="57"/>
      <c r="D194" s="57"/>
      <c r="E194" s="57"/>
      <c r="F194" s="57"/>
      <c r="G194" s="57"/>
      <c r="H194" s="27"/>
      <c r="I194" s="27"/>
      <c r="J194" s="27"/>
      <c r="K194" s="93">
        <f>'Oct 2008'!K194+'Jan 2009'!K193</f>
        <v>12308</v>
      </c>
      <c r="L194" s="27"/>
      <c r="M194" s="87"/>
      <c r="N194" s="96"/>
      <c r="O194" s="6"/>
    </row>
    <row r="195" spans="1:15" ht="15.6" x14ac:dyDescent="0.3">
      <c r="A195" s="92"/>
      <c r="B195" s="84" t="s">
        <v>112</v>
      </c>
      <c r="C195" s="57"/>
      <c r="D195" s="57"/>
      <c r="E195" s="57"/>
      <c r="F195" s="57"/>
      <c r="G195" s="57"/>
      <c r="H195" s="27"/>
      <c r="I195" s="27"/>
      <c r="J195" s="27"/>
      <c r="K195" s="157">
        <f>+'Oct 2008'!K195+152</f>
        <v>4226</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5</v>
      </c>
      <c r="L197" s="27"/>
      <c r="M197" s="87"/>
      <c r="N197" s="96"/>
      <c r="O197" s="6"/>
    </row>
    <row r="198" spans="1:15" ht="15.6" x14ac:dyDescent="0.3">
      <c r="A198" s="92"/>
      <c r="B198" s="84" t="s">
        <v>113</v>
      </c>
      <c r="C198" s="57"/>
      <c r="D198" s="57"/>
      <c r="E198" s="97"/>
      <c r="F198" s="97"/>
      <c r="G198" s="98"/>
      <c r="H198" s="27"/>
      <c r="I198" s="27"/>
      <c r="J198" s="27"/>
      <c r="K198" s="68">
        <v>10.61</v>
      </c>
      <c r="L198" s="27"/>
      <c r="M198" s="87"/>
      <c r="N198" s="96"/>
      <c r="O198" s="6"/>
    </row>
    <row r="199" spans="1:15" ht="15.6" x14ac:dyDescent="0.3">
      <c r="A199" s="92"/>
      <c r="B199" s="84" t="s">
        <v>114</v>
      </c>
      <c r="C199" s="57"/>
      <c r="D199" s="57"/>
      <c r="E199" s="97"/>
      <c r="F199" s="97"/>
      <c r="G199" s="98"/>
      <c r="H199" s="27"/>
      <c r="I199" s="27"/>
      <c r="J199" s="27"/>
      <c r="K199" s="68">
        <v>4.0199999999999996</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7244</v>
      </c>
      <c r="J204" s="103">
        <f>I204/I213</f>
        <v>0.90312928562523376</v>
      </c>
      <c r="K204" s="56">
        <v>183811</v>
      </c>
      <c r="L204" s="136">
        <f>K204/K213</f>
        <v>0.88611372237086317</v>
      </c>
      <c r="M204" s="87"/>
      <c r="N204" s="96"/>
      <c r="O204" s="6"/>
    </row>
    <row r="205" spans="1:15" ht="15.6" x14ac:dyDescent="0.3">
      <c r="A205" s="26"/>
      <c r="B205" s="57" t="s">
        <v>117</v>
      </c>
      <c r="C205" s="102"/>
      <c r="D205" s="102"/>
      <c r="E205" s="57"/>
      <c r="F205" s="102"/>
      <c r="G205" s="27"/>
      <c r="H205" s="103"/>
      <c r="I205" s="57">
        <v>259</v>
      </c>
      <c r="J205" s="103">
        <f>I205/I213</f>
        <v>3.2290238124922079E-2</v>
      </c>
      <c r="K205" s="56">
        <v>7454</v>
      </c>
      <c r="L205" s="136">
        <f>K205/K213</f>
        <v>3.5934148046375972E-2</v>
      </c>
      <c r="M205" s="87"/>
      <c r="N205" s="96"/>
      <c r="O205" s="6"/>
    </row>
    <row r="206" spans="1:15" ht="15.6" x14ac:dyDescent="0.3">
      <c r="A206" s="26"/>
      <c r="B206" s="57" t="s">
        <v>118</v>
      </c>
      <c r="C206" s="102"/>
      <c r="D206" s="102"/>
      <c r="E206" s="57"/>
      <c r="F206" s="102"/>
      <c r="G206" s="27"/>
      <c r="H206" s="103"/>
      <c r="I206" s="57">
        <v>152</v>
      </c>
      <c r="J206" s="103">
        <f>I206/I213</f>
        <v>1.895025557910485E-2</v>
      </c>
      <c r="K206" s="56">
        <v>4673</v>
      </c>
      <c r="L206" s="136">
        <f>K206/K213</f>
        <v>2.2527538747077396E-2</v>
      </c>
      <c r="M206" s="87"/>
      <c r="N206" s="94"/>
      <c r="O206" s="6"/>
    </row>
    <row r="207" spans="1:15" ht="15.6" x14ac:dyDescent="0.3">
      <c r="A207" s="26"/>
      <c r="B207" s="57" t="s">
        <v>167</v>
      </c>
      <c r="C207" s="102"/>
      <c r="D207" s="102"/>
      <c r="E207" s="57"/>
      <c r="F207" s="102"/>
      <c r="G207" s="27"/>
      <c r="H207" s="103"/>
      <c r="I207" s="57">
        <v>89</v>
      </c>
      <c r="J207" s="103">
        <f>I207/I213</f>
        <v>1.1095873332502181E-2</v>
      </c>
      <c r="K207" s="56">
        <v>2576</v>
      </c>
      <c r="L207" s="136">
        <f>K207/K213</f>
        <v>1.2418347916214718E-2</v>
      </c>
      <c r="M207" s="87"/>
      <c r="N207" s="96"/>
      <c r="O207" s="6"/>
    </row>
    <row r="208" spans="1:15" ht="15.6" x14ac:dyDescent="0.3">
      <c r="A208" s="26"/>
      <c r="B208" s="57" t="s">
        <v>168</v>
      </c>
      <c r="C208" s="102"/>
      <c r="D208" s="102"/>
      <c r="E208" s="57"/>
      <c r="F208" s="102"/>
      <c r="G208" s="27"/>
      <c r="H208" s="103"/>
      <c r="I208" s="57">
        <v>83</v>
      </c>
      <c r="J208" s="103">
        <f>I208/I213</f>
        <v>1.0347836928063833E-2</v>
      </c>
      <c r="K208" s="56">
        <v>2395</v>
      </c>
      <c r="L208" s="136">
        <f>K208/K213</f>
        <v>1.1545785426760191E-2</v>
      </c>
      <c r="M208" s="87"/>
      <c r="N208" s="96"/>
      <c r="O208" s="6"/>
    </row>
    <row r="209" spans="1:15" ht="15.6" x14ac:dyDescent="0.3">
      <c r="A209" s="26"/>
      <c r="B209" s="57" t="s">
        <v>169</v>
      </c>
      <c r="C209" s="102"/>
      <c r="D209" s="102"/>
      <c r="E209" s="57"/>
      <c r="F209" s="102"/>
      <c r="G209" s="27"/>
      <c r="H209" s="103"/>
      <c r="I209" s="57">
        <v>46</v>
      </c>
      <c r="J209" s="103">
        <f>I209/I213</f>
        <v>5.7349457673606784E-3</v>
      </c>
      <c r="K209" s="56">
        <v>1501</v>
      </c>
      <c r="L209" s="136">
        <f>K209/K213</f>
        <v>7.2360016390676596E-3</v>
      </c>
      <c r="M209" s="87"/>
      <c r="N209" s="96"/>
      <c r="O209" s="6"/>
    </row>
    <row r="210" spans="1:15" ht="15.6" x14ac:dyDescent="0.3">
      <c r="A210" s="26"/>
      <c r="B210" s="57" t="s">
        <v>176</v>
      </c>
      <c r="C210" s="102"/>
      <c r="D210" s="102"/>
      <c r="E210" s="57"/>
      <c r="F210" s="102"/>
      <c r="G210" s="27"/>
      <c r="H210" s="103"/>
      <c r="I210" s="57">
        <v>96</v>
      </c>
      <c r="J210" s="103">
        <f>I210/I213</f>
        <v>1.1968582471013589E-2</v>
      </c>
      <c r="K210" s="56">
        <v>3232</v>
      </c>
      <c r="L210" s="136">
        <f>K210/K213</f>
        <v>1.5580784342083062E-2</v>
      </c>
      <c r="M210" s="87"/>
      <c r="N210" s="94"/>
      <c r="O210" s="6"/>
    </row>
    <row r="211" spans="1:15" ht="15.6" x14ac:dyDescent="0.3">
      <c r="A211" s="26"/>
      <c r="B211" s="57" t="s">
        <v>202</v>
      </c>
      <c r="C211" s="102"/>
      <c r="D211" s="102"/>
      <c r="E211" s="57"/>
      <c r="F211" s="102"/>
      <c r="G211" s="27"/>
      <c r="H211" s="103"/>
      <c r="I211" s="57">
        <v>52</v>
      </c>
      <c r="J211" s="103">
        <f>+I211/I213</f>
        <v>6.4829821717990272E-3</v>
      </c>
      <c r="K211" s="56">
        <v>1793</v>
      </c>
      <c r="L211" s="136">
        <f>+K211/K213</f>
        <v>8.6436715115578381E-3</v>
      </c>
      <c r="M211" s="87"/>
      <c r="N211" s="94"/>
      <c r="O211" s="6"/>
    </row>
    <row r="212" spans="1:15" ht="15.6" x14ac:dyDescent="0.3">
      <c r="A212" s="26"/>
      <c r="B212" s="57" t="s">
        <v>170</v>
      </c>
      <c r="C212" s="102"/>
      <c r="D212" s="102"/>
      <c r="E212" s="57"/>
      <c r="F212" s="102"/>
      <c r="G212" s="3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37"/>
      <c r="H213" s="27"/>
      <c r="I213" s="37">
        <f>SUM(I204:I212)</f>
        <v>8021</v>
      </c>
      <c r="J213" s="136">
        <f>SUM(J204:J212)</f>
        <v>1</v>
      </c>
      <c r="K213" s="56">
        <f>SUM(K204:K212)</f>
        <v>207435</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232</v>
      </c>
      <c r="C215" s="27"/>
      <c r="D215" s="27"/>
      <c r="E215" s="27"/>
      <c r="F215" s="27"/>
      <c r="G215" s="27"/>
      <c r="H215" s="27"/>
      <c r="I215" s="37"/>
      <c r="J215" s="136">
        <v>0.99809999999999999</v>
      </c>
      <c r="K215" s="56"/>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JANUARY 2009</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F00-000000000000}"/>
    <hyperlink ref="K201" r:id="rId2" xr:uid="{00000000-0004-0000-0F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39955</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138434.9736</v>
      </c>
      <c r="D31" s="35"/>
      <c r="E31" s="34">
        <v>42000</v>
      </c>
      <c r="F31" s="34"/>
      <c r="G31" s="34">
        <v>27000</v>
      </c>
      <c r="H31" s="34"/>
      <c r="I31" s="34"/>
      <c r="J31" s="34"/>
      <c r="K31" s="34"/>
      <c r="L31" s="143"/>
      <c r="M31" s="34">
        <f>C31+E31+G31</f>
        <v>207434.9736</v>
      </c>
      <c r="N31" s="37"/>
      <c r="O31" s="6"/>
    </row>
    <row r="32" spans="1:15" ht="15.6" x14ac:dyDescent="0.3">
      <c r="A32" s="30"/>
      <c r="B32" s="31" t="s">
        <v>16</v>
      </c>
      <c r="C32" s="38">
        <f>C30*C33</f>
        <v>130935.14279999999</v>
      </c>
      <c r="D32" s="39"/>
      <c r="E32" s="38">
        <v>42000</v>
      </c>
      <c r="F32" s="38"/>
      <c r="G32" s="38">
        <v>27000</v>
      </c>
      <c r="H32" s="38"/>
      <c r="I32" s="38"/>
      <c r="J32" s="38"/>
      <c r="K32" s="38"/>
      <c r="L32" s="40"/>
      <c r="M32" s="34">
        <f>C32+E32+G32</f>
        <v>199935.14279999997</v>
      </c>
      <c r="N32" s="37"/>
      <c r="O32" s="6"/>
    </row>
    <row r="33" spans="1:15" ht="15.6" x14ac:dyDescent="0.3">
      <c r="A33" s="30"/>
      <c r="B33" s="130" t="s">
        <v>174</v>
      </c>
      <c r="C33" s="134">
        <v>0.56681879999999996</v>
      </c>
      <c r="D33" s="133"/>
      <c r="E33" s="134">
        <v>1</v>
      </c>
      <c r="F33" s="134"/>
      <c r="G33" s="134">
        <v>1</v>
      </c>
      <c r="H33" s="132"/>
      <c r="I33" s="132"/>
      <c r="J33" s="38"/>
      <c r="K33" s="38"/>
      <c r="L33" s="40"/>
      <c r="M33" s="38"/>
      <c r="N33" s="37"/>
      <c r="O33" s="6"/>
    </row>
    <row r="34" spans="1:15" ht="15.6" x14ac:dyDescent="0.3">
      <c r="A34" s="30"/>
      <c r="B34" s="130" t="s">
        <v>175</v>
      </c>
      <c r="C34" s="134">
        <v>0.59928559999999997</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2.2606299999999999E-2</v>
      </c>
      <c r="D36" s="27"/>
      <c r="E36" s="41">
        <v>2.8106300000000001E-2</v>
      </c>
      <c r="F36" s="42"/>
      <c r="G36" s="41">
        <v>3.0606299999999999E-2</v>
      </c>
      <c r="H36" s="42"/>
      <c r="I36" s="41"/>
      <c r="J36" s="42"/>
      <c r="K36" s="41"/>
      <c r="L36" s="142"/>
      <c r="M36" s="42">
        <f>SUMPRODUCT(C36:G36,C31:G31)/M31</f>
        <v>2.4761192168096767E-2</v>
      </c>
      <c r="N36" s="27"/>
      <c r="O36" s="6"/>
    </row>
    <row r="37" spans="1:15" ht="15.6" x14ac:dyDescent="0.3">
      <c r="A37" s="26"/>
      <c r="B37" s="27" t="s">
        <v>19</v>
      </c>
      <c r="C37" s="41">
        <v>4.3487499999999998E-2</v>
      </c>
      <c r="D37" s="27"/>
      <c r="E37" s="41">
        <v>4.8987500000000003E-2</v>
      </c>
      <c r="F37" s="42"/>
      <c r="G37" s="41">
        <v>5.1487499999999999E-2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0.52697846066732212</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39948</v>
      </c>
      <c r="N47" s="27"/>
      <c r="O47" s="6"/>
    </row>
    <row r="48" spans="1:15" ht="15.6" x14ac:dyDescent="0.3">
      <c r="A48" s="26"/>
      <c r="B48" s="27" t="s">
        <v>26</v>
      </c>
      <c r="C48" s="27"/>
      <c r="D48" s="27"/>
      <c r="E48" s="27"/>
      <c r="F48" s="27"/>
      <c r="G48" s="27"/>
      <c r="H48" s="27"/>
      <c r="I48" s="27"/>
      <c r="J48" s="27">
        <f>M48-K48+1</f>
        <v>91</v>
      </c>
      <c r="K48" s="48">
        <v>39769</v>
      </c>
      <c r="L48" s="49"/>
      <c r="M48" s="48">
        <v>39859</v>
      </c>
      <c r="N48" s="27"/>
      <c r="O48" s="6"/>
    </row>
    <row r="49" spans="1:15" ht="15.6" x14ac:dyDescent="0.3">
      <c r="A49" s="26"/>
      <c r="B49" s="27" t="s">
        <v>27</v>
      </c>
      <c r="C49" s="27"/>
      <c r="D49" s="27"/>
      <c r="E49" s="27"/>
      <c r="F49" s="27"/>
      <c r="G49" s="27"/>
      <c r="H49" s="27"/>
      <c r="I49" s="27"/>
      <c r="J49" s="27">
        <f>M49-K49+1</f>
        <v>88</v>
      </c>
      <c r="K49" s="48">
        <v>39860</v>
      </c>
      <c r="L49" s="49"/>
      <c r="M49" s="48">
        <v>39947</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39934</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234</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207435</v>
      </c>
      <c r="F59" s="37"/>
      <c r="G59" s="37">
        <f>3793+2431+14+1388</f>
        <v>7626</v>
      </c>
      <c r="H59" s="37"/>
      <c r="I59" s="37">
        <v>126</v>
      </c>
      <c r="J59" s="37"/>
      <c r="K59" s="37">
        <v>0</v>
      </c>
      <c r="L59" s="37"/>
      <c r="M59" s="56">
        <f>E59-G59+I59-K59</f>
        <v>199935</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207435</v>
      </c>
      <c r="F63" s="37"/>
      <c r="G63" s="37">
        <f>SUM(G59:G62)</f>
        <v>7626</v>
      </c>
      <c r="H63" s="37"/>
      <c r="I63" s="37">
        <f>SUM(I59:I62)</f>
        <v>126</v>
      </c>
      <c r="J63" s="37"/>
      <c r="K63" s="37">
        <f>SUM(K59:K62)</f>
        <v>0</v>
      </c>
      <c r="L63" s="37"/>
      <c r="M63" s="57">
        <f>SUM(M59:M62)</f>
        <v>199935</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0</v>
      </c>
      <c r="F74" s="37"/>
      <c r="G74" s="37"/>
      <c r="H74" s="37"/>
      <c r="I74" s="37"/>
      <c r="J74" s="37"/>
      <c r="K74" s="37"/>
      <c r="L74" s="37"/>
      <c r="M74" s="57">
        <f>K112-M73</f>
        <v>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207435</v>
      </c>
      <c r="F76" s="37"/>
      <c r="G76" s="57"/>
      <c r="H76" s="37"/>
      <c r="I76" s="57"/>
      <c r="J76" s="37"/>
      <c r="K76" s="57"/>
      <c r="L76" s="37"/>
      <c r="M76" s="57">
        <f>SUM(M63:M75)</f>
        <v>199935</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39933</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+'Oct 2008'!K112</f>
        <v>0</v>
      </c>
      <c r="L80" s="27"/>
      <c r="M80" s="56">
        <v>0</v>
      </c>
      <c r="N80" s="27"/>
      <c r="O80" s="6"/>
    </row>
    <row r="81" spans="1:16" ht="15.6" x14ac:dyDescent="0.3">
      <c r="A81" s="26"/>
      <c r="B81" s="27" t="s">
        <v>42</v>
      </c>
      <c r="C81" s="43" t="s">
        <v>207</v>
      </c>
      <c r="D81" s="60" t="s">
        <v>207</v>
      </c>
      <c r="E81" s="61"/>
      <c r="F81" s="27"/>
      <c r="G81" s="27"/>
      <c r="H81" s="27"/>
      <c r="I81" s="27"/>
      <c r="J81" s="27"/>
      <c r="K81" s="37">
        <f>7626-1388</f>
        <v>6238</v>
      </c>
      <c r="L81" s="27"/>
      <c r="M81" s="56"/>
      <c r="N81" s="27"/>
      <c r="O81" s="6"/>
    </row>
    <row r="82" spans="1:16" ht="15.6" x14ac:dyDescent="0.3">
      <c r="A82" s="26"/>
      <c r="B82" s="27" t="s">
        <v>204</v>
      </c>
      <c r="C82" s="43"/>
      <c r="D82" s="60"/>
      <c r="E82" s="61"/>
      <c r="F82" s="27"/>
      <c r="G82" s="27"/>
      <c r="H82" s="27"/>
      <c r="I82" s="27"/>
      <c r="J82" s="27"/>
      <c r="K82" s="37"/>
      <c r="L82" s="27"/>
      <c r="M82" s="56">
        <f>7350+75-2377</f>
        <v>5048</v>
      </c>
      <c r="N82" s="27"/>
      <c r="O82" s="6"/>
    </row>
    <row r="83" spans="1:16" ht="15.6" x14ac:dyDescent="0.3">
      <c r="A83" s="26"/>
      <c r="B83" s="27" t="s">
        <v>205</v>
      </c>
      <c r="C83" s="43"/>
      <c r="D83" s="60"/>
      <c r="E83" s="61"/>
      <c r="F83" s="27"/>
      <c r="G83" s="27"/>
      <c r="H83" s="27"/>
      <c r="I83" s="27"/>
      <c r="J83" s="27"/>
      <c r="K83" s="37"/>
      <c r="L83" s="27"/>
      <c r="M83" s="56">
        <v>392</v>
      </c>
      <c r="N83" s="27"/>
      <c r="O83" s="6"/>
    </row>
    <row r="84" spans="1:16" ht="15.6" x14ac:dyDescent="0.3">
      <c r="A84" s="26"/>
      <c r="B84" s="27" t="s">
        <v>206</v>
      </c>
      <c r="C84" s="43"/>
      <c r="D84" s="60"/>
      <c r="E84" s="61"/>
      <c r="F84" s="27"/>
      <c r="G84" s="27"/>
      <c r="H84" s="27"/>
      <c r="I84" s="27"/>
      <c r="J84" s="27"/>
      <c r="K84" s="37"/>
      <c r="L84" s="27"/>
      <c r="M84" s="56">
        <v>171</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6238</v>
      </c>
      <c r="L86" s="27"/>
      <c r="M86" s="57">
        <f>SUM(M80:M85)</f>
        <v>5611</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6238</v>
      </c>
      <c r="L88" s="27"/>
      <c r="M88" s="57">
        <f>M86+M87</f>
        <v>5611</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0</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-76-81-2</f>
        <v>-159</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-754</v>
      </c>
      <c r="N94" s="27"/>
      <c r="O94" s="6"/>
    </row>
    <row r="95" spans="1:16" ht="15.6" x14ac:dyDescent="0.3">
      <c r="A95" s="26">
        <v>5</v>
      </c>
      <c r="B95" s="27" t="s">
        <v>52</v>
      </c>
      <c r="C95" s="27"/>
      <c r="D95" s="27"/>
      <c r="E95" s="27"/>
      <c r="F95" s="27"/>
      <c r="G95" s="27"/>
      <c r="H95" s="27"/>
      <c r="I95" s="27"/>
      <c r="J95" s="27"/>
      <c r="K95" s="27"/>
      <c r="L95" s="27"/>
      <c r="M95" s="56">
        <v>-285</v>
      </c>
      <c r="N95" s="27"/>
      <c r="O95" s="6"/>
    </row>
    <row r="96" spans="1:16" ht="15.6" x14ac:dyDescent="0.3">
      <c r="A96" s="26">
        <v>6</v>
      </c>
      <c r="B96" s="27" t="s">
        <v>172</v>
      </c>
      <c r="C96" s="27"/>
      <c r="D96" s="27"/>
      <c r="E96" s="27"/>
      <c r="F96" s="27"/>
      <c r="G96" s="27"/>
      <c r="H96" s="27"/>
      <c r="I96" s="27"/>
      <c r="J96" s="27"/>
      <c r="K96" s="27"/>
      <c r="L96" s="27"/>
      <c r="M96" s="56">
        <v>-199</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1388</v>
      </c>
      <c r="L98" s="27"/>
      <c r="M98" s="56">
        <v>-1388</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-76</v>
      </c>
      <c r="N102" s="27"/>
      <c r="O102" s="6"/>
    </row>
    <row r="103" spans="1:16" ht="15.6" x14ac:dyDescent="0.3">
      <c r="A103" s="26">
        <v>13</v>
      </c>
      <c r="B103" s="27" t="s">
        <v>195</v>
      </c>
      <c r="C103" s="27"/>
      <c r="D103" s="27"/>
      <c r="E103" s="27"/>
      <c r="F103" s="27"/>
      <c r="G103" s="27"/>
      <c r="H103" s="27"/>
      <c r="I103" s="27"/>
      <c r="J103" s="27"/>
      <c r="K103" s="27"/>
      <c r="L103" s="27"/>
      <c r="M103" s="56">
        <f>-M88-SUM(M90:M102)</f>
        <v>-2743</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-126</v>
      </c>
      <c r="L106" s="37"/>
      <c r="M106" s="56"/>
      <c r="N106" s="27"/>
      <c r="O106" s="6"/>
      <c r="P106" s="117"/>
    </row>
    <row r="107" spans="1:16" ht="15.6" x14ac:dyDescent="0.3">
      <c r="A107" s="26"/>
      <c r="B107" s="27" t="s">
        <v>187</v>
      </c>
      <c r="C107" s="27"/>
      <c r="D107" s="27"/>
      <c r="E107" s="27"/>
      <c r="F107" s="27"/>
      <c r="G107" s="27"/>
      <c r="H107" s="27"/>
      <c r="I107" s="27"/>
      <c r="J107" s="27"/>
      <c r="K107" s="37">
        <v>0</v>
      </c>
      <c r="L107" s="37"/>
      <c r="M107" s="56"/>
      <c r="N107" s="27"/>
      <c r="O107" s="6"/>
    </row>
    <row r="108" spans="1:16" ht="15.6" x14ac:dyDescent="0.3">
      <c r="A108" s="26"/>
      <c r="B108" s="27" t="s">
        <v>185</v>
      </c>
      <c r="C108" s="27"/>
      <c r="D108" s="27"/>
      <c r="E108" s="27"/>
      <c r="F108" s="27"/>
      <c r="G108" s="27"/>
      <c r="H108" s="27"/>
      <c r="I108" s="27"/>
      <c r="J108" s="27"/>
      <c r="K108" s="37">
        <v>-7500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+K106+K107+K108</f>
        <v>-7626</v>
      </c>
      <c r="L111" s="37"/>
      <c r="M111" s="37">
        <f>SUM(M89:M110)</f>
        <v>-5611</v>
      </c>
      <c r="N111" s="27"/>
      <c r="O111" s="6"/>
    </row>
    <row r="112" spans="1:16" ht="15.6" x14ac:dyDescent="0.3">
      <c r="A112" s="26"/>
      <c r="B112" s="27" t="s">
        <v>61</v>
      </c>
      <c r="C112" s="27"/>
      <c r="D112" s="27"/>
      <c r="E112" s="27"/>
      <c r="F112" s="27"/>
      <c r="G112" s="27"/>
      <c r="H112" s="27"/>
      <c r="I112" s="27"/>
      <c r="J112" s="27"/>
      <c r="K112" s="37">
        <f>K88+K111+K98</f>
        <v>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APRIL 2009</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-343</v>
      </c>
      <c r="N138" s="27"/>
      <c r="O138" s="6"/>
    </row>
    <row r="139" spans="1:15" ht="15.6" x14ac:dyDescent="0.3">
      <c r="A139" s="26"/>
      <c r="B139" s="27" t="s">
        <v>180</v>
      </c>
      <c r="C139" s="27"/>
      <c r="D139" s="27"/>
      <c r="E139" s="27"/>
      <c r="F139" s="27"/>
      <c r="G139" s="27"/>
      <c r="H139" s="27"/>
      <c r="I139" s="27"/>
      <c r="J139" s="27"/>
      <c r="K139" s="27"/>
      <c r="L139" s="27"/>
      <c r="M139" s="56">
        <f>1720+11</f>
        <v>1731</v>
      </c>
      <c r="N139" s="27"/>
      <c r="O139" s="6"/>
    </row>
    <row r="140" spans="1:15" ht="15.6" x14ac:dyDescent="0.3">
      <c r="A140" s="26"/>
      <c r="B140" s="27" t="s">
        <v>77</v>
      </c>
      <c r="C140" s="27"/>
      <c r="D140" s="27"/>
      <c r="E140" s="27"/>
      <c r="F140" s="27"/>
      <c r="G140" s="27"/>
      <c r="H140" s="27"/>
      <c r="I140" s="27"/>
      <c r="J140" s="27"/>
      <c r="K140" s="27"/>
      <c r="L140" s="27"/>
      <c r="M140" s="56">
        <f>M138+M137+M139</f>
        <v>1388</v>
      </c>
      <c r="N140" s="27"/>
      <c r="O140" s="6"/>
    </row>
    <row r="141" spans="1:15" ht="15.6" x14ac:dyDescent="0.3">
      <c r="A141" s="26"/>
      <c r="B141" s="27" t="s">
        <v>183</v>
      </c>
      <c r="C141" s="27"/>
      <c r="D141" s="27"/>
      <c r="E141" s="27"/>
      <c r="F141" s="27"/>
      <c r="G141" s="27"/>
      <c r="H141" s="27"/>
      <c r="I141" s="70"/>
      <c r="J141" s="27"/>
      <c r="K141" s="27"/>
      <c r="L141" s="27"/>
      <c r="M141" s="56">
        <f>M98</f>
        <v>-1388</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199935</v>
      </c>
      <c r="N147" s="27"/>
      <c r="O147" s="6"/>
      <c r="P147" s="117"/>
    </row>
    <row r="148" spans="1:16" ht="15.6" x14ac:dyDescent="0.3">
      <c r="A148" s="26"/>
      <c r="B148" s="27" t="s">
        <v>80</v>
      </c>
      <c r="C148" s="71"/>
      <c r="D148" s="71"/>
      <c r="E148" s="27"/>
      <c r="F148" s="27"/>
      <c r="G148" s="27"/>
      <c r="H148" s="27"/>
      <c r="I148" s="27"/>
      <c r="J148" s="27"/>
      <c r="K148" s="27"/>
      <c r="L148" s="27"/>
      <c r="M148" s="56">
        <f>M76</f>
        <v>199935</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+'Jan 2009'!I155</f>
        <v>7050</v>
      </c>
      <c r="J153" s="27"/>
      <c r="K153" s="56">
        <v>0</v>
      </c>
      <c r="L153" s="27"/>
      <c r="M153" s="56">
        <f>K153+I153</f>
        <v>7050</v>
      </c>
      <c r="N153" s="27"/>
      <c r="O153" s="6"/>
    </row>
    <row r="154" spans="1:16" ht="15.6" x14ac:dyDescent="0.3">
      <c r="A154" s="26"/>
      <c r="B154" s="27" t="s">
        <v>84</v>
      </c>
      <c r="C154" s="27"/>
      <c r="D154" s="27"/>
      <c r="E154" s="27"/>
      <c r="F154" s="27"/>
      <c r="G154" s="27"/>
      <c r="H154" s="27"/>
      <c r="I154" s="37">
        <v>126</v>
      </c>
      <c r="J154" s="27"/>
      <c r="K154" s="27">
        <v>0</v>
      </c>
      <c r="L154" s="27"/>
      <c r="M154" s="56">
        <f>K154+I154</f>
        <v>126</v>
      </c>
      <c r="N154" s="27"/>
      <c r="O154" s="6"/>
    </row>
    <row r="155" spans="1:16" ht="15.6" x14ac:dyDescent="0.3">
      <c r="A155" s="26"/>
      <c r="B155" s="27" t="s">
        <v>85</v>
      </c>
      <c r="C155" s="27"/>
      <c r="D155" s="27"/>
      <c r="E155" s="27"/>
      <c r="F155" s="27"/>
      <c r="G155" s="27"/>
      <c r="H155" s="27"/>
      <c r="I155" s="56">
        <f>I153+I154</f>
        <v>7176</v>
      </c>
      <c r="J155" s="27"/>
      <c r="K155" s="56">
        <f>K154+K153</f>
        <v>0</v>
      </c>
      <c r="L155" s="27"/>
      <c r="M155" s="56">
        <f>K155+I155</f>
        <v>7176</v>
      </c>
      <c r="N155" s="27"/>
      <c r="O155" s="6"/>
    </row>
    <row r="156" spans="1:16" ht="15.6" x14ac:dyDescent="0.3">
      <c r="A156" s="26"/>
      <c r="B156" s="27" t="s">
        <v>86</v>
      </c>
      <c r="C156" s="27"/>
      <c r="D156" s="27"/>
      <c r="E156" s="27"/>
      <c r="F156" s="27"/>
      <c r="G156" s="27"/>
      <c r="H156" s="27"/>
      <c r="I156" s="56">
        <f>I152-I155-K155</f>
        <v>7824</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7.2281167108753319</v>
      </c>
      <c r="N160" s="27" t="s">
        <v>145</v>
      </c>
      <c r="O160" s="6"/>
    </row>
    <row r="161" spans="1:15" ht="15.6" x14ac:dyDescent="0.3">
      <c r="A161" s="26"/>
      <c r="B161" s="27" t="s">
        <v>89</v>
      </c>
      <c r="C161" s="27"/>
      <c r="D161" s="27"/>
      <c r="E161" s="27"/>
      <c r="F161" s="27"/>
      <c r="G161" s="27"/>
      <c r="H161" s="27"/>
      <c r="I161" s="27"/>
      <c r="J161" s="27"/>
      <c r="K161" s="27"/>
      <c r="L161" s="27"/>
      <c r="M161" s="73">
        <v>2.5299999999999998</v>
      </c>
      <c r="N161" s="27" t="s">
        <v>145</v>
      </c>
      <c r="O161" s="6"/>
    </row>
    <row r="162" spans="1:15" ht="15.6" x14ac:dyDescent="0.3">
      <c r="A162" s="26"/>
      <c r="B162" s="27" t="s">
        <v>90</v>
      </c>
      <c r="C162" s="27"/>
      <c r="D162" s="27"/>
      <c r="E162" s="27"/>
      <c r="F162" s="27"/>
      <c r="G162" s="27"/>
      <c r="H162" s="27"/>
      <c r="I162" s="27"/>
      <c r="J162" s="27"/>
      <c r="K162" s="27"/>
      <c r="L162" s="27"/>
      <c r="M162" s="63">
        <f>(M88+M90+M91+M92+M93+M94)/-M95</f>
        <v>16.477192982456142</v>
      </c>
      <c r="N162" s="27" t="s">
        <v>145</v>
      </c>
      <c r="O162" s="6"/>
    </row>
    <row r="163" spans="1:15" ht="15.6" x14ac:dyDescent="0.3">
      <c r="A163" s="26"/>
      <c r="B163" s="27" t="s">
        <v>91</v>
      </c>
      <c r="C163" s="27"/>
      <c r="D163" s="27"/>
      <c r="E163" s="27"/>
      <c r="F163" s="27"/>
      <c r="G163" s="27"/>
      <c r="H163" s="27"/>
      <c r="I163" s="27"/>
      <c r="J163" s="27"/>
      <c r="K163" s="27"/>
      <c r="L163" s="27"/>
      <c r="M163" s="74">
        <v>7.42</v>
      </c>
      <c r="N163" s="27" t="s">
        <v>145</v>
      </c>
      <c r="O163" s="6"/>
    </row>
    <row r="164" spans="1:15" ht="15.6" x14ac:dyDescent="0.3">
      <c r="A164" s="26"/>
      <c r="B164" s="27" t="s">
        <v>181</v>
      </c>
      <c r="C164" s="27"/>
      <c r="D164" s="27"/>
      <c r="E164" s="27"/>
      <c r="F164" s="27"/>
      <c r="G164" s="27"/>
      <c r="H164" s="27"/>
      <c r="I164" s="27"/>
      <c r="J164" s="27"/>
      <c r="K164" s="27"/>
      <c r="L164" s="27"/>
      <c r="M164" s="63">
        <f>(M88+M90+M91+M92+M93+M94+M95)/-M96</f>
        <v>22.165829145728644</v>
      </c>
      <c r="N164" s="27" t="s">
        <v>145</v>
      </c>
      <c r="O164" s="6"/>
    </row>
    <row r="165" spans="1:15" ht="15.6" x14ac:dyDescent="0.3">
      <c r="A165" s="26"/>
      <c r="B165" s="27" t="s">
        <v>182</v>
      </c>
      <c r="C165" s="27"/>
      <c r="D165" s="27"/>
      <c r="E165" s="27"/>
      <c r="F165" s="27"/>
      <c r="G165" s="27"/>
      <c r="H165" s="27"/>
      <c r="I165" s="27"/>
      <c r="J165" s="27"/>
      <c r="K165" s="27"/>
      <c r="L165" s="27"/>
      <c r="M165" s="74">
        <v>9.57</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APRIL 2009</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39933</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9.5500000000000002E-2</v>
      </c>
      <c r="L175" s="27"/>
      <c r="M175" s="27"/>
      <c r="N175" s="27"/>
      <c r="O175" s="6"/>
    </row>
    <row r="176" spans="1:15" ht="15.6" x14ac:dyDescent="0.3">
      <c r="A176" s="83"/>
      <c r="B176" s="84" t="s">
        <v>97</v>
      </c>
      <c r="C176" s="85"/>
      <c r="D176" s="85"/>
      <c r="E176" s="85"/>
      <c r="F176" s="85"/>
      <c r="G176" s="85"/>
      <c r="H176" s="70"/>
      <c r="I176" s="70"/>
      <c r="J176" s="70"/>
      <c r="K176" s="86">
        <f>M36</f>
        <v>2.4761192168096767E-2</v>
      </c>
      <c r="L176" s="27"/>
      <c r="M176" s="27"/>
      <c r="N176" s="27"/>
      <c r="O176" s="6"/>
    </row>
    <row r="177" spans="1:15" ht="15.6" x14ac:dyDescent="0.3">
      <c r="A177" s="83"/>
      <c r="B177" s="84" t="s">
        <v>98</v>
      </c>
      <c r="C177" s="85"/>
      <c r="D177" s="85"/>
      <c r="E177" s="85"/>
      <c r="F177" s="85"/>
      <c r="G177" s="85"/>
      <c r="H177" s="70"/>
      <c r="I177" s="70"/>
      <c r="J177" s="70"/>
      <c r="K177" s="86">
        <f>K175-K176</f>
        <v>7.0738807831903228E-2</v>
      </c>
      <c r="L177" s="27"/>
      <c r="M177" s="27"/>
      <c r="N177" s="27"/>
      <c r="O177" s="6"/>
    </row>
    <row r="178" spans="1:15" ht="15.6" x14ac:dyDescent="0.3">
      <c r="A178" s="83"/>
      <c r="B178" s="84" t="s">
        <v>211</v>
      </c>
      <c r="C178" s="85"/>
      <c r="D178" s="85"/>
      <c r="E178" s="85"/>
      <c r="F178" s="85"/>
      <c r="G178" s="85"/>
      <c r="H178" s="70"/>
      <c r="I178" s="70"/>
      <c r="J178" s="70"/>
      <c r="K178" s="86">
        <f>(+M88+M90)/E59</f>
        <v>2.7049437173090364E-2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14.86</v>
      </c>
      <c r="L183" s="27" t="s">
        <v>139</v>
      </c>
      <c r="M183" s="27"/>
      <c r="N183" s="27"/>
      <c r="O183" s="6"/>
    </row>
    <row r="184" spans="1:15" ht="15.6" x14ac:dyDescent="0.3">
      <c r="A184" s="83"/>
      <c r="B184" s="84" t="s">
        <v>103</v>
      </c>
      <c r="C184" s="85"/>
      <c r="D184" s="85"/>
      <c r="E184" s="85"/>
      <c r="F184" s="85"/>
      <c r="G184" s="85"/>
      <c r="H184" s="70"/>
      <c r="I184" s="70"/>
      <c r="J184" s="70"/>
      <c r="K184" s="138">
        <f>K81/E59</f>
        <v>3.0072070769156602E-2</v>
      </c>
      <c r="L184" s="27"/>
      <c r="M184" s="27"/>
      <c r="N184" s="27"/>
      <c r="O184" s="6"/>
    </row>
    <row r="185" spans="1:15" ht="15.6" x14ac:dyDescent="0.3">
      <c r="A185" s="83"/>
      <c r="B185" s="84" t="s">
        <v>104</v>
      </c>
      <c r="C185" s="85"/>
      <c r="D185" s="85"/>
      <c r="E185" s="85"/>
      <c r="F185" s="85"/>
      <c r="G185" s="85"/>
      <c r="H185" s="70"/>
      <c r="I185" s="70"/>
      <c r="J185" s="70"/>
      <c r="K185" s="86">
        <v>0.34289999999999998</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159">
        <v>853</v>
      </c>
      <c r="K188" s="93">
        <v>25625</v>
      </c>
      <c r="L188" s="27"/>
      <c r="M188" s="87"/>
      <c r="N188" s="94"/>
      <c r="O188" s="6"/>
    </row>
    <row r="189" spans="1:15" ht="15.6" x14ac:dyDescent="0.3">
      <c r="A189" s="92"/>
      <c r="B189" s="84" t="s">
        <v>196</v>
      </c>
      <c r="C189" s="57"/>
      <c r="D189" s="57"/>
      <c r="E189" s="57"/>
      <c r="F189" s="57"/>
      <c r="G189" s="27"/>
      <c r="H189" s="27"/>
      <c r="I189" s="27"/>
      <c r="J189" s="33">
        <v>14</v>
      </c>
      <c r="K189" s="93">
        <v>433</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126</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1388</v>
      </c>
      <c r="L193" s="27"/>
      <c r="M193" s="87"/>
      <c r="N193" s="96"/>
      <c r="O193" s="6"/>
    </row>
    <row r="194" spans="1:15" ht="15.6" x14ac:dyDescent="0.3">
      <c r="A194" s="92"/>
      <c r="B194" s="84" t="s">
        <v>111</v>
      </c>
      <c r="C194" s="57"/>
      <c r="D194" s="57"/>
      <c r="E194" s="57"/>
      <c r="F194" s="57"/>
      <c r="G194" s="57"/>
      <c r="H194" s="27"/>
      <c r="I194" s="27"/>
      <c r="J194" s="27"/>
      <c r="K194" s="93">
        <f>'Jan 2009'!K194+'April 2009'!K193</f>
        <v>13696</v>
      </c>
      <c r="L194" s="27"/>
      <c r="M194" s="87"/>
      <c r="N194" s="96"/>
      <c r="O194" s="6"/>
    </row>
    <row r="195" spans="1:15" ht="15.6" x14ac:dyDescent="0.3">
      <c r="A195" s="92"/>
      <c r="B195" s="84" t="s">
        <v>112</v>
      </c>
      <c r="C195" s="57"/>
      <c r="D195" s="57"/>
      <c r="E195" s="57"/>
      <c r="F195" s="57"/>
      <c r="G195" s="57"/>
      <c r="H195" s="27"/>
      <c r="I195" s="27"/>
      <c r="J195" s="27"/>
      <c r="K195" s="157">
        <f>+'Jan 2009'!K195+332</f>
        <v>4558</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8</v>
      </c>
      <c r="L197" s="27"/>
      <c r="M197" s="87"/>
      <c r="N197" s="96"/>
      <c r="O197" s="6"/>
    </row>
    <row r="198" spans="1:15" ht="15.6" x14ac:dyDescent="0.3">
      <c r="A198" s="92"/>
      <c r="B198" s="84" t="s">
        <v>113</v>
      </c>
      <c r="C198" s="57"/>
      <c r="D198" s="57"/>
      <c r="E198" s="97"/>
      <c r="F198" s="97"/>
      <c r="G198" s="98"/>
      <c r="H198" s="27"/>
      <c r="I198" s="27"/>
      <c r="J198" s="27"/>
      <c r="K198" s="68">
        <v>15.13</v>
      </c>
      <c r="L198" s="27"/>
      <c r="M198" s="87"/>
      <c r="N198" s="96"/>
      <c r="O198" s="6"/>
    </row>
    <row r="199" spans="1:15" ht="15.6" x14ac:dyDescent="0.3">
      <c r="A199" s="92"/>
      <c r="B199" s="84" t="s">
        <v>114</v>
      </c>
      <c r="C199" s="57"/>
      <c r="D199" s="57"/>
      <c r="E199" s="97"/>
      <c r="F199" s="97"/>
      <c r="G199" s="98"/>
      <c r="H199" s="27"/>
      <c r="I199" s="27"/>
      <c r="J199" s="27"/>
      <c r="K199" s="68">
        <v>6.79</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6931</v>
      </c>
      <c r="J204" s="103">
        <f>I204/I213</f>
        <v>0.89041623843782114</v>
      </c>
      <c r="K204" s="56">
        <v>174310</v>
      </c>
      <c r="L204" s="136">
        <f>K204/K213</f>
        <v>0.87183334583739713</v>
      </c>
      <c r="M204" s="87"/>
      <c r="N204" s="96"/>
      <c r="O204" s="6"/>
    </row>
    <row r="205" spans="1:15" ht="15.6" x14ac:dyDescent="0.3">
      <c r="A205" s="26"/>
      <c r="B205" s="57" t="s">
        <v>117</v>
      </c>
      <c r="C205" s="102"/>
      <c r="D205" s="102"/>
      <c r="E205" s="57"/>
      <c r="F205" s="102"/>
      <c r="G205" s="27"/>
      <c r="H205" s="103"/>
      <c r="I205" s="57">
        <v>279</v>
      </c>
      <c r="J205" s="103">
        <f>I205/I213</f>
        <v>3.5842754367934222E-2</v>
      </c>
      <c r="K205" s="56">
        <v>8121</v>
      </c>
      <c r="L205" s="136">
        <f>K205/K213</f>
        <v>4.061820091529747E-2</v>
      </c>
      <c r="M205" s="87"/>
      <c r="N205" s="96"/>
      <c r="O205" s="6"/>
    </row>
    <row r="206" spans="1:15" ht="15.6" x14ac:dyDescent="0.3">
      <c r="A206" s="26"/>
      <c r="B206" s="57" t="s">
        <v>118</v>
      </c>
      <c r="C206" s="102"/>
      <c r="D206" s="102"/>
      <c r="E206" s="57"/>
      <c r="F206" s="102"/>
      <c r="G206" s="27"/>
      <c r="H206" s="103"/>
      <c r="I206" s="57">
        <v>155</v>
      </c>
      <c r="J206" s="103">
        <f>I206/I213</f>
        <v>1.9912641315519012E-2</v>
      </c>
      <c r="K206" s="56">
        <v>4025</v>
      </c>
      <c r="L206" s="136">
        <f>K206/K213</f>
        <v>2.0131542751394203E-2</v>
      </c>
      <c r="M206" s="87"/>
      <c r="N206" s="94"/>
      <c r="O206" s="6"/>
    </row>
    <row r="207" spans="1:15" ht="15.6" x14ac:dyDescent="0.3">
      <c r="A207" s="26"/>
      <c r="B207" s="57" t="s">
        <v>167</v>
      </c>
      <c r="C207" s="102"/>
      <c r="D207" s="102"/>
      <c r="E207" s="57"/>
      <c r="F207" s="102"/>
      <c r="G207" s="27"/>
      <c r="H207" s="103"/>
      <c r="I207" s="57">
        <v>110</v>
      </c>
      <c r="J207" s="103">
        <f>I207/I213</f>
        <v>1.4131551901336074E-2</v>
      </c>
      <c r="K207" s="56">
        <v>3384</v>
      </c>
      <c r="L207" s="136">
        <f>K207/K213</f>
        <v>1.692550078775602E-2</v>
      </c>
      <c r="M207" s="87"/>
      <c r="N207" s="96"/>
      <c r="O207" s="6"/>
    </row>
    <row r="208" spans="1:15" ht="15.6" x14ac:dyDescent="0.3">
      <c r="A208" s="26"/>
      <c r="B208" s="57" t="s">
        <v>168</v>
      </c>
      <c r="C208" s="102"/>
      <c r="D208" s="102"/>
      <c r="E208" s="57"/>
      <c r="F208" s="102"/>
      <c r="G208" s="27"/>
      <c r="H208" s="103"/>
      <c r="I208" s="57">
        <v>79</v>
      </c>
      <c r="J208" s="103">
        <f>I208/I213</f>
        <v>1.0149023638232271E-2</v>
      </c>
      <c r="K208" s="56">
        <v>2476</v>
      </c>
      <c r="L208" s="136">
        <f>K208/K213</f>
        <v>1.2384024808062621E-2</v>
      </c>
      <c r="M208" s="87"/>
      <c r="N208" s="96"/>
      <c r="O208" s="6"/>
    </row>
    <row r="209" spans="1:15" ht="15.6" x14ac:dyDescent="0.3">
      <c r="A209" s="26"/>
      <c r="B209" s="57" t="s">
        <v>169</v>
      </c>
      <c r="C209" s="102"/>
      <c r="D209" s="102"/>
      <c r="E209" s="57"/>
      <c r="F209" s="102"/>
      <c r="G209" s="27"/>
      <c r="H209" s="103"/>
      <c r="I209" s="57">
        <v>45</v>
      </c>
      <c r="J209" s="103">
        <f>I209/I213</f>
        <v>5.7810894141829394E-3</v>
      </c>
      <c r="K209" s="56">
        <v>1258</v>
      </c>
      <c r="L209" s="136">
        <f>K209/K213</f>
        <v>6.2920449145972444E-3</v>
      </c>
      <c r="M209" s="87"/>
      <c r="N209" s="96"/>
      <c r="O209" s="6"/>
    </row>
    <row r="210" spans="1:15" ht="15.6" x14ac:dyDescent="0.3">
      <c r="A210" s="26"/>
      <c r="B210" s="57" t="s">
        <v>176</v>
      </c>
      <c r="C210" s="102"/>
      <c r="D210" s="102"/>
      <c r="E210" s="57"/>
      <c r="F210" s="102"/>
      <c r="G210" s="27"/>
      <c r="H210" s="103"/>
      <c r="I210" s="57">
        <v>124</v>
      </c>
      <c r="J210" s="103">
        <f>I210/I213</f>
        <v>1.593011305241521E-2</v>
      </c>
      <c r="K210" s="56">
        <v>3931</v>
      </c>
      <c r="L210" s="136">
        <f>K210/K213</f>
        <v>1.9661389951734314E-2</v>
      </c>
      <c r="M210" s="87"/>
      <c r="N210" s="94"/>
      <c r="O210" s="6"/>
    </row>
    <row r="211" spans="1:15" ht="15.6" x14ac:dyDescent="0.3">
      <c r="A211" s="26"/>
      <c r="B211" s="57" t="s">
        <v>202</v>
      </c>
      <c r="C211" s="102"/>
      <c r="D211" s="102"/>
      <c r="E211" s="57"/>
      <c r="F211" s="102"/>
      <c r="G211" s="27"/>
      <c r="H211" s="103"/>
      <c r="I211" s="57">
        <v>61</v>
      </c>
      <c r="J211" s="103">
        <f>+I211/I213</f>
        <v>7.8365878725590952E-3</v>
      </c>
      <c r="K211" s="56">
        <v>2430</v>
      </c>
      <c r="L211" s="136">
        <f>+K211/K213</f>
        <v>1.2153950033760972E-2</v>
      </c>
      <c r="M211" s="87"/>
      <c r="N211" s="94"/>
      <c r="O211" s="6"/>
    </row>
    <row r="212" spans="1:15" ht="15.6" x14ac:dyDescent="0.3">
      <c r="A212" s="26"/>
      <c r="B212" s="57" t="s">
        <v>170</v>
      </c>
      <c r="C212" s="102"/>
      <c r="D212" s="102"/>
      <c r="E212" s="57"/>
      <c r="F212" s="102"/>
      <c r="G212" s="3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37"/>
      <c r="H213" s="27"/>
      <c r="I213" s="37">
        <f>SUM(I204:I212)</f>
        <v>7784</v>
      </c>
      <c r="J213" s="136">
        <f>SUM(J204:J212)</f>
        <v>1</v>
      </c>
      <c r="K213" s="56">
        <f>SUM(K204:K212)</f>
        <v>199935</v>
      </c>
      <c r="L213" s="136">
        <f>SUM(L204:L212)</f>
        <v>0.99999999999999989</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232</v>
      </c>
      <c r="C215" s="27"/>
      <c r="D215" s="27"/>
      <c r="E215" s="27"/>
      <c r="F215" s="27"/>
      <c r="G215" s="27"/>
      <c r="H215" s="27"/>
      <c r="I215" s="37"/>
      <c r="J215" s="136">
        <v>1.1314</v>
      </c>
      <c r="K215" s="56"/>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APRIL 2009</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1000-000000000000}"/>
    <hyperlink ref="K201" r:id="rId2" xr:uid="{00000000-0004-0000-10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40049</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239</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130935.14279999999</v>
      </c>
      <c r="D31" s="35"/>
      <c r="E31" s="34">
        <v>42000</v>
      </c>
      <c r="F31" s="34"/>
      <c r="G31" s="34">
        <v>27000</v>
      </c>
      <c r="H31" s="34"/>
      <c r="I31" s="34"/>
      <c r="J31" s="34"/>
      <c r="K31" s="34"/>
      <c r="L31" s="143"/>
      <c r="M31" s="34">
        <f>C31+E31+G31</f>
        <v>199935.14279999997</v>
      </c>
      <c r="N31" s="37"/>
      <c r="O31" s="6"/>
    </row>
    <row r="32" spans="1:15" ht="15.6" x14ac:dyDescent="0.3">
      <c r="A32" s="30"/>
      <c r="B32" s="31" t="s">
        <v>16</v>
      </c>
      <c r="C32" s="38">
        <f>C30*C33</f>
        <v>122472.13440000001</v>
      </c>
      <c r="D32" s="39"/>
      <c r="E32" s="38">
        <v>42000</v>
      </c>
      <c r="F32" s="38"/>
      <c r="G32" s="38">
        <v>27000</v>
      </c>
      <c r="H32" s="38"/>
      <c r="I32" s="38"/>
      <c r="J32" s="38"/>
      <c r="K32" s="38"/>
      <c r="L32" s="40"/>
      <c r="M32" s="34">
        <f>C32+E32+G32</f>
        <v>191472.13440000001</v>
      </c>
      <c r="N32" s="37"/>
      <c r="O32" s="6"/>
    </row>
    <row r="33" spans="1:15" ht="15.6" x14ac:dyDescent="0.3">
      <c r="A33" s="30"/>
      <c r="B33" s="130" t="s">
        <v>174</v>
      </c>
      <c r="C33" s="134">
        <v>0.53018240000000005</v>
      </c>
      <c r="D33" s="133"/>
      <c r="E33" s="134">
        <v>1</v>
      </c>
      <c r="F33" s="134"/>
      <c r="G33" s="134">
        <v>1</v>
      </c>
      <c r="H33" s="132"/>
      <c r="I33" s="132"/>
      <c r="J33" s="38"/>
      <c r="K33" s="38"/>
      <c r="L33" s="40"/>
      <c r="M33" s="38"/>
      <c r="N33" s="37"/>
      <c r="O33" s="6"/>
    </row>
    <row r="34" spans="1:15" ht="15.6" x14ac:dyDescent="0.3">
      <c r="A34" s="30"/>
      <c r="B34" s="130" t="s">
        <v>175</v>
      </c>
      <c r="C34" s="134">
        <v>0.56681879999999996</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1.5568800000000001E-2</v>
      </c>
      <c r="D36" s="27"/>
      <c r="E36" s="41">
        <v>2.1068799999999999E-2</v>
      </c>
      <c r="F36" s="42"/>
      <c r="G36" s="41">
        <v>2.3568800000000001E-2</v>
      </c>
      <c r="H36" s="42"/>
      <c r="I36" s="41"/>
      <c r="J36" s="42"/>
      <c r="K36" s="41"/>
      <c r="L36" s="142"/>
      <c r="M36" s="42">
        <f>SUMPRODUCT(C36:G36,C31:G31)/M31</f>
        <v>1.7804525014321997E-2</v>
      </c>
      <c r="N36" s="27"/>
      <c r="O36" s="6"/>
    </row>
    <row r="37" spans="1:15" ht="15.6" x14ac:dyDescent="0.3">
      <c r="A37" s="26"/>
      <c r="B37" s="27" t="s">
        <v>19</v>
      </c>
      <c r="C37" s="41">
        <v>2.2606299999999999E-2</v>
      </c>
      <c r="D37" s="27"/>
      <c r="E37" s="41">
        <v>2.8106300000000001E-2</v>
      </c>
      <c r="F37" s="42"/>
      <c r="G37" s="41">
        <v>3.0606299999999999E-2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0.56339346364816845</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40042</v>
      </c>
      <c r="N47" s="27"/>
      <c r="O47" s="6"/>
    </row>
    <row r="48" spans="1:15" ht="15.6" x14ac:dyDescent="0.3">
      <c r="A48" s="26"/>
      <c r="B48" s="27" t="s">
        <v>26</v>
      </c>
      <c r="C48" s="27"/>
      <c r="D48" s="27"/>
      <c r="E48" s="27"/>
      <c r="F48" s="27"/>
      <c r="G48" s="27"/>
      <c r="H48" s="27"/>
      <c r="I48" s="27"/>
      <c r="J48" s="27">
        <f>M48-K48+1</f>
        <v>88</v>
      </c>
      <c r="K48" s="48">
        <v>39860</v>
      </c>
      <c r="L48" s="49"/>
      <c r="M48" s="48">
        <v>39947</v>
      </c>
      <c r="N48" s="27"/>
      <c r="O48" s="6"/>
    </row>
    <row r="49" spans="1:15" ht="15.6" x14ac:dyDescent="0.3">
      <c r="A49" s="26"/>
      <c r="B49" s="27" t="s">
        <v>27</v>
      </c>
      <c r="C49" s="27"/>
      <c r="D49" s="27"/>
      <c r="E49" s="27"/>
      <c r="F49" s="27"/>
      <c r="G49" s="27"/>
      <c r="H49" s="27"/>
      <c r="I49" s="27"/>
      <c r="J49" s="27">
        <f>M49-K49+1</f>
        <v>94</v>
      </c>
      <c r="K49" s="48">
        <v>39948</v>
      </c>
      <c r="L49" s="49"/>
      <c r="M49" s="48">
        <v>40041</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40028</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238</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199935</v>
      </c>
      <c r="F59" s="37"/>
      <c r="G59" s="37">
        <f>3688+2548+25+2322</f>
        <v>8583</v>
      </c>
      <c r="H59" s="37"/>
      <c r="I59" s="37">
        <v>120</v>
      </c>
      <c r="J59" s="37"/>
      <c r="K59" s="37">
        <v>0</v>
      </c>
      <c r="L59" s="37"/>
      <c r="M59" s="56">
        <f>E59-G59+I59-K59</f>
        <v>191472</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199935</v>
      </c>
      <c r="F63" s="37"/>
      <c r="G63" s="37">
        <f>SUM(G59:G62)</f>
        <v>8583</v>
      </c>
      <c r="H63" s="37"/>
      <c r="I63" s="37">
        <f>SUM(I59:I62)</f>
        <v>120</v>
      </c>
      <c r="J63" s="37"/>
      <c r="K63" s="37">
        <f>SUM(K59:K62)</f>
        <v>0</v>
      </c>
      <c r="L63" s="37"/>
      <c r="M63" s="57">
        <f>SUM(M59:M62)</f>
        <v>191472</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0</v>
      </c>
      <c r="F74" s="37"/>
      <c r="G74" s="37"/>
      <c r="H74" s="37"/>
      <c r="I74" s="37"/>
      <c r="J74" s="37"/>
      <c r="K74" s="37"/>
      <c r="L74" s="37"/>
      <c r="M74" s="57">
        <f>K112-M73</f>
        <v>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199935</v>
      </c>
      <c r="F76" s="37"/>
      <c r="G76" s="57"/>
      <c r="H76" s="37"/>
      <c r="I76" s="57"/>
      <c r="J76" s="37"/>
      <c r="K76" s="57"/>
      <c r="L76" s="37"/>
      <c r="M76" s="57">
        <f>SUM(M63:M75)</f>
        <v>191472</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40025</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+'Oct 2008'!K112</f>
        <v>0</v>
      </c>
      <c r="L80" s="27"/>
      <c r="M80" s="56">
        <v>0</v>
      </c>
      <c r="N80" s="27"/>
      <c r="O80" s="6"/>
    </row>
    <row r="81" spans="1:16" ht="15.6" x14ac:dyDescent="0.3">
      <c r="A81" s="26"/>
      <c r="B81" s="27" t="s">
        <v>42</v>
      </c>
      <c r="C81" s="43" t="s">
        <v>207</v>
      </c>
      <c r="D81" s="60" t="s">
        <v>207</v>
      </c>
      <c r="E81" s="61"/>
      <c r="F81" s="27"/>
      <c r="G81" s="27"/>
      <c r="H81" s="27"/>
      <c r="I81" s="27"/>
      <c r="J81" s="27"/>
      <c r="K81" s="37">
        <f>8583-2322</f>
        <v>6261</v>
      </c>
      <c r="L81" s="27"/>
      <c r="M81" s="56"/>
      <c r="N81" s="27"/>
      <c r="O81" s="6"/>
    </row>
    <row r="82" spans="1:16" ht="15.6" x14ac:dyDescent="0.3">
      <c r="A82" s="26"/>
      <c r="B82" s="27" t="s">
        <v>204</v>
      </c>
      <c r="C82" s="43"/>
      <c r="D82" s="60"/>
      <c r="E82" s="61"/>
      <c r="F82" s="27"/>
      <c r="G82" s="27"/>
      <c r="H82" s="27"/>
      <c r="I82" s="27"/>
      <c r="J82" s="27"/>
      <c r="K82" s="37"/>
      <c r="L82" s="27"/>
      <c r="M82" s="56">
        <f>7098+31-2494</f>
        <v>4635</v>
      </c>
      <c r="N82" s="27"/>
      <c r="O82" s="6"/>
    </row>
    <row r="83" spans="1:16" ht="15.6" x14ac:dyDescent="0.3">
      <c r="A83" s="26"/>
      <c r="B83" s="27" t="s">
        <v>205</v>
      </c>
      <c r="C83" s="43"/>
      <c r="D83" s="60"/>
      <c r="E83" s="61"/>
      <c r="F83" s="27"/>
      <c r="G83" s="27"/>
      <c r="H83" s="27"/>
      <c r="I83" s="27"/>
      <c r="J83" s="27"/>
      <c r="K83" s="37"/>
      <c r="L83" s="27"/>
      <c r="M83" s="56">
        <v>333</v>
      </c>
      <c r="N83" s="27"/>
      <c r="O83" s="6"/>
    </row>
    <row r="84" spans="1:16" ht="15.6" x14ac:dyDescent="0.3">
      <c r="A84" s="26"/>
      <c r="B84" s="27" t="s">
        <v>206</v>
      </c>
      <c r="C84" s="43"/>
      <c r="D84" s="60"/>
      <c r="E84" s="61"/>
      <c r="F84" s="27"/>
      <c r="G84" s="27"/>
      <c r="H84" s="27"/>
      <c r="I84" s="27"/>
      <c r="J84" s="27"/>
      <c r="K84" s="37"/>
      <c r="L84" s="27"/>
      <c r="M84" s="56">
        <v>87</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6261</v>
      </c>
      <c r="L86" s="27"/>
      <c r="M86" s="57">
        <f>SUM(M80:M85)</f>
        <v>5055</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6261</v>
      </c>
      <c r="L88" s="27"/>
      <c r="M88" s="57">
        <f>M86+M87</f>
        <v>5055</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0</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-76-57-2</f>
        <v>-135</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-525</v>
      </c>
      <c r="N94" s="27"/>
      <c r="O94" s="6"/>
    </row>
    <row r="95" spans="1:16" ht="15.6" x14ac:dyDescent="0.3">
      <c r="A95" s="26">
        <v>5</v>
      </c>
      <c r="B95" s="27" t="s">
        <v>52</v>
      </c>
      <c r="C95" s="27"/>
      <c r="D95" s="27"/>
      <c r="E95" s="27"/>
      <c r="F95" s="27"/>
      <c r="G95" s="27"/>
      <c r="H95" s="27"/>
      <c r="I95" s="27"/>
      <c r="J95" s="27"/>
      <c r="K95" s="27"/>
      <c r="L95" s="27"/>
      <c r="M95" s="56">
        <v>-228</v>
      </c>
      <c r="N95" s="27"/>
      <c r="O95" s="6"/>
    </row>
    <row r="96" spans="1:16" ht="15.6" x14ac:dyDescent="0.3">
      <c r="A96" s="26">
        <v>6</v>
      </c>
      <c r="B96" s="27" t="s">
        <v>172</v>
      </c>
      <c r="C96" s="27"/>
      <c r="D96" s="27"/>
      <c r="E96" s="27"/>
      <c r="F96" s="27"/>
      <c r="G96" s="27"/>
      <c r="H96" s="27"/>
      <c r="I96" s="27"/>
      <c r="J96" s="27"/>
      <c r="K96" s="27"/>
      <c r="L96" s="27"/>
      <c r="M96" s="56">
        <v>-164</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2322</v>
      </c>
      <c r="L98" s="27"/>
      <c r="M98" s="56">
        <v>-2322</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-75</v>
      </c>
      <c r="N102" s="27"/>
      <c r="O102" s="6"/>
    </row>
    <row r="103" spans="1:16" ht="15.6" x14ac:dyDescent="0.3">
      <c r="A103" s="26">
        <v>13</v>
      </c>
      <c r="B103" s="27" t="s">
        <v>195</v>
      </c>
      <c r="C103" s="27"/>
      <c r="D103" s="27"/>
      <c r="E103" s="27"/>
      <c r="F103" s="27"/>
      <c r="G103" s="27"/>
      <c r="H103" s="27"/>
      <c r="I103" s="27"/>
      <c r="J103" s="27"/>
      <c r="K103" s="27"/>
      <c r="L103" s="27"/>
      <c r="M103" s="56">
        <f>-M88-SUM(M90:M102)</f>
        <v>-1599</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-120</v>
      </c>
      <c r="L106" s="37"/>
      <c r="M106" s="56"/>
      <c r="N106" s="27"/>
      <c r="O106" s="6"/>
      <c r="P106" s="117"/>
    </row>
    <row r="107" spans="1:16" ht="15.6" x14ac:dyDescent="0.3">
      <c r="A107" s="26"/>
      <c r="B107" s="27" t="s">
        <v>187</v>
      </c>
      <c r="C107" s="27"/>
      <c r="D107" s="27"/>
      <c r="E107" s="27"/>
      <c r="F107" s="27"/>
      <c r="G107" s="27"/>
      <c r="H107" s="27"/>
      <c r="I107" s="27"/>
      <c r="J107" s="27"/>
      <c r="K107" s="37">
        <v>0</v>
      </c>
      <c r="L107" s="37"/>
      <c r="M107" s="56"/>
      <c r="N107" s="27"/>
      <c r="O107" s="6"/>
    </row>
    <row r="108" spans="1:16" ht="15.6" x14ac:dyDescent="0.3">
      <c r="A108" s="26"/>
      <c r="B108" s="27" t="s">
        <v>185</v>
      </c>
      <c r="C108" s="27"/>
      <c r="D108" s="27"/>
      <c r="E108" s="27"/>
      <c r="F108" s="27"/>
      <c r="G108" s="27"/>
      <c r="H108" s="27"/>
      <c r="I108" s="27"/>
      <c r="J108" s="27"/>
      <c r="K108" s="37">
        <v>-8463</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+K106+K107+K108</f>
        <v>-8583</v>
      </c>
      <c r="L111" s="37"/>
      <c r="M111" s="37">
        <f>SUM(M89:M110)</f>
        <v>-5055</v>
      </c>
      <c r="N111" s="27"/>
      <c r="O111" s="6"/>
    </row>
    <row r="112" spans="1:16" ht="15.6" x14ac:dyDescent="0.3">
      <c r="A112" s="26"/>
      <c r="B112" s="27" t="s">
        <v>61</v>
      </c>
      <c r="C112" s="27"/>
      <c r="D112" s="27"/>
      <c r="E112" s="27"/>
      <c r="F112" s="27"/>
      <c r="G112" s="27"/>
      <c r="H112" s="27"/>
      <c r="I112" s="27"/>
      <c r="J112" s="27"/>
      <c r="K112" s="37">
        <f>K88+K111+K98</f>
        <v>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JULY 2009</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395</v>
      </c>
      <c r="N138" s="27"/>
      <c r="O138" s="6"/>
    </row>
    <row r="139" spans="1:15" ht="15.6" x14ac:dyDescent="0.3">
      <c r="A139" s="26"/>
      <c r="B139" s="27" t="s">
        <v>180</v>
      </c>
      <c r="C139" s="27"/>
      <c r="D139" s="27"/>
      <c r="E139" s="27"/>
      <c r="F139" s="27"/>
      <c r="G139" s="27"/>
      <c r="H139" s="27"/>
      <c r="I139" s="27"/>
      <c r="J139" s="27"/>
      <c r="K139" s="27"/>
      <c r="L139" s="27"/>
      <c r="M139" s="56">
        <f>2167-240</f>
        <v>1927</v>
      </c>
      <c r="N139" s="27"/>
      <c r="O139" s="6"/>
    </row>
    <row r="140" spans="1:15" ht="15.6" x14ac:dyDescent="0.3">
      <c r="A140" s="26"/>
      <c r="B140" s="27" t="s">
        <v>77</v>
      </c>
      <c r="C140" s="27"/>
      <c r="D140" s="27"/>
      <c r="E140" s="27"/>
      <c r="F140" s="27"/>
      <c r="G140" s="27"/>
      <c r="H140" s="27"/>
      <c r="I140" s="27"/>
      <c r="J140" s="27"/>
      <c r="K140" s="27"/>
      <c r="L140" s="27"/>
      <c r="M140" s="56">
        <f>M138+M137+M139</f>
        <v>2322</v>
      </c>
      <c r="N140" s="27"/>
      <c r="O140" s="6"/>
    </row>
    <row r="141" spans="1:15" ht="15.6" x14ac:dyDescent="0.3">
      <c r="A141" s="26"/>
      <c r="B141" s="27" t="s">
        <v>183</v>
      </c>
      <c r="C141" s="27"/>
      <c r="D141" s="27"/>
      <c r="E141" s="27"/>
      <c r="F141" s="27"/>
      <c r="G141" s="27"/>
      <c r="H141" s="27"/>
      <c r="I141" s="70"/>
      <c r="J141" s="27"/>
      <c r="K141" s="27"/>
      <c r="L141" s="27"/>
      <c r="M141" s="56">
        <f>M98</f>
        <v>-2322</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191472</v>
      </c>
      <c r="N147" s="27"/>
      <c r="O147" s="6"/>
      <c r="P147" s="117"/>
    </row>
    <row r="148" spans="1:16" ht="15.6" x14ac:dyDescent="0.3">
      <c r="A148" s="26"/>
      <c r="B148" s="27" t="s">
        <v>80</v>
      </c>
      <c r="C148" s="71"/>
      <c r="D148" s="71"/>
      <c r="E148" s="27"/>
      <c r="F148" s="27"/>
      <c r="G148" s="27"/>
      <c r="H148" s="27"/>
      <c r="I148" s="27"/>
      <c r="J148" s="27"/>
      <c r="K148" s="27"/>
      <c r="L148" s="27"/>
      <c r="M148" s="56">
        <f>M76</f>
        <v>191472</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+'April 2009'!I155</f>
        <v>7176</v>
      </c>
      <c r="J153" s="27"/>
      <c r="K153" s="56">
        <v>0</v>
      </c>
      <c r="L153" s="27"/>
      <c r="M153" s="56">
        <f>K153+I153</f>
        <v>7176</v>
      </c>
      <c r="N153" s="27"/>
      <c r="O153" s="6"/>
    </row>
    <row r="154" spans="1:16" ht="15.6" x14ac:dyDescent="0.3">
      <c r="A154" s="26"/>
      <c r="B154" s="27" t="s">
        <v>84</v>
      </c>
      <c r="C154" s="27"/>
      <c r="D154" s="27"/>
      <c r="E154" s="27"/>
      <c r="F154" s="27"/>
      <c r="G154" s="27"/>
      <c r="H154" s="27"/>
      <c r="I154" s="37">
        <v>120</v>
      </c>
      <c r="J154" s="27"/>
      <c r="K154" s="27">
        <v>0</v>
      </c>
      <c r="L154" s="27"/>
      <c r="M154" s="56">
        <f>K154+I154</f>
        <v>120</v>
      </c>
      <c r="N154" s="27"/>
      <c r="O154" s="6"/>
    </row>
    <row r="155" spans="1:16" ht="15.6" x14ac:dyDescent="0.3">
      <c r="A155" s="26"/>
      <c r="B155" s="27" t="s">
        <v>85</v>
      </c>
      <c r="C155" s="27"/>
      <c r="D155" s="27"/>
      <c r="E155" s="27"/>
      <c r="F155" s="27"/>
      <c r="G155" s="27"/>
      <c r="H155" s="27"/>
      <c r="I155" s="56">
        <f>I153+I154</f>
        <v>7296</v>
      </c>
      <c r="J155" s="27"/>
      <c r="K155" s="56">
        <f>K154+K153</f>
        <v>0</v>
      </c>
      <c r="L155" s="27"/>
      <c r="M155" s="56">
        <f>K155+I155</f>
        <v>7296</v>
      </c>
      <c r="N155" s="27"/>
      <c r="O155" s="6"/>
    </row>
    <row r="156" spans="1:16" ht="15.6" x14ac:dyDescent="0.3">
      <c r="A156" s="26"/>
      <c r="B156" s="27" t="s">
        <v>86</v>
      </c>
      <c r="C156" s="27"/>
      <c r="D156" s="27"/>
      <c r="E156" s="27"/>
      <c r="F156" s="27"/>
      <c r="G156" s="27"/>
      <c r="H156" s="27"/>
      <c r="I156" s="56">
        <f>I152-I155-K155</f>
        <v>7704</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9.3676190476190477</v>
      </c>
      <c r="N160" s="27" t="s">
        <v>145</v>
      </c>
      <c r="O160" s="6"/>
    </row>
    <row r="161" spans="1:15" ht="15.6" x14ac:dyDescent="0.3">
      <c r="A161" s="26"/>
      <c r="B161" s="27" t="s">
        <v>89</v>
      </c>
      <c r="C161" s="27"/>
      <c r="D161" s="27"/>
      <c r="E161" s="27"/>
      <c r="F161" s="27"/>
      <c r="G161" s="27"/>
      <c r="H161" s="27"/>
      <c r="I161" s="27"/>
      <c r="J161" s="27"/>
      <c r="K161" s="27"/>
      <c r="L161" s="27"/>
      <c r="M161" s="73">
        <v>2.6</v>
      </c>
      <c r="N161" s="27" t="s">
        <v>145</v>
      </c>
      <c r="O161" s="6"/>
    </row>
    <row r="162" spans="1:15" ht="15.6" x14ac:dyDescent="0.3">
      <c r="A162" s="26"/>
      <c r="B162" s="27" t="s">
        <v>90</v>
      </c>
      <c r="C162" s="27"/>
      <c r="D162" s="27"/>
      <c r="E162" s="27"/>
      <c r="F162" s="27"/>
      <c r="G162" s="27"/>
      <c r="H162" s="27"/>
      <c r="I162" s="27"/>
      <c r="J162" s="27"/>
      <c r="K162" s="27"/>
      <c r="L162" s="27"/>
      <c r="M162" s="63">
        <f>(M88+M90+M91+M92+M93+M94)/-M95</f>
        <v>19.267543859649123</v>
      </c>
      <c r="N162" s="27" t="s">
        <v>145</v>
      </c>
      <c r="O162" s="6"/>
    </row>
    <row r="163" spans="1:15" ht="15.6" x14ac:dyDescent="0.3">
      <c r="A163" s="26"/>
      <c r="B163" s="27" t="s">
        <v>91</v>
      </c>
      <c r="C163" s="27"/>
      <c r="D163" s="27"/>
      <c r="E163" s="27"/>
      <c r="F163" s="27"/>
      <c r="G163" s="27"/>
      <c r="H163" s="27"/>
      <c r="I163" s="27"/>
      <c r="J163" s="27"/>
      <c r="K163" s="27"/>
      <c r="L163" s="27"/>
      <c r="M163" s="74">
        <v>7.67</v>
      </c>
      <c r="N163" s="27" t="s">
        <v>145</v>
      </c>
      <c r="O163" s="6"/>
    </row>
    <row r="164" spans="1:15" ht="15.6" x14ac:dyDescent="0.3">
      <c r="A164" s="26"/>
      <c r="B164" s="27" t="s">
        <v>181</v>
      </c>
      <c r="C164" s="27"/>
      <c r="D164" s="27"/>
      <c r="E164" s="27"/>
      <c r="F164" s="27"/>
      <c r="G164" s="27"/>
      <c r="H164" s="27"/>
      <c r="I164" s="27"/>
      <c r="J164" s="27"/>
      <c r="K164" s="27"/>
      <c r="L164" s="27"/>
      <c r="M164" s="63">
        <f>(M88+M90+M91+M92+M93+M94+M95)/-M96</f>
        <v>25.396341463414632</v>
      </c>
      <c r="N164" s="27" t="s">
        <v>145</v>
      </c>
      <c r="O164" s="6"/>
    </row>
    <row r="165" spans="1:15" ht="15.6" x14ac:dyDescent="0.3">
      <c r="A165" s="26"/>
      <c r="B165" s="27" t="s">
        <v>182</v>
      </c>
      <c r="C165" s="27"/>
      <c r="D165" s="27"/>
      <c r="E165" s="27"/>
      <c r="F165" s="27"/>
      <c r="G165" s="27"/>
      <c r="H165" s="27"/>
      <c r="I165" s="27"/>
      <c r="J165" s="27"/>
      <c r="K165" s="27"/>
      <c r="L165" s="27"/>
      <c r="M165" s="74">
        <v>9.92</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JULY 2009</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40025</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9.5399999999999999E-2</v>
      </c>
      <c r="L175" s="27"/>
      <c r="M175" s="27"/>
      <c r="N175" s="27"/>
      <c r="O175" s="6"/>
    </row>
    <row r="176" spans="1:15" ht="15.6" x14ac:dyDescent="0.3">
      <c r="A176" s="83"/>
      <c r="B176" s="84" t="s">
        <v>97</v>
      </c>
      <c r="C176" s="85"/>
      <c r="D176" s="85"/>
      <c r="E176" s="85"/>
      <c r="F176" s="85"/>
      <c r="G176" s="85"/>
      <c r="H176" s="70"/>
      <c r="I176" s="70"/>
      <c r="J176" s="70"/>
      <c r="K176" s="86">
        <f>M36</f>
        <v>1.7804525014321997E-2</v>
      </c>
      <c r="L176" s="27"/>
      <c r="M176" s="27"/>
      <c r="N176" s="27"/>
      <c r="O176" s="6"/>
    </row>
    <row r="177" spans="1:15" ht="15.6" x14ac:dyDescent="0.3">
      <c r="A177" s="83"/>
      <c r="B177" s="84" t="s">
        <v>98</v>
      </c>
      <c r="C177" s="85"/>
      <c r="D177" s="85"/>
      <c r="E177" s="85"/>
      <c r="F177" s="85"/>
      <c r="G177" s="85"/>
      <c r="H177" s="70"/>
      <c r="I177" s="70"/>
      <c r="J177" s="70"/>
      <c r="K177" s="86">
        <f>K175-K176</f>
        <v>7.7595474985678009E-2</v>
      </c>
      <c r="L177" s="27"/>
      <c r="M177" s="27"/>
      <c r="N177" s="27"/>
      <c r="O177" s="6"/>
    </row>
    <row r="178" spans="1:15" ht="15.6" x14ac:dyDescent="0.3">
      <c r="A178" s="83"/>
      <c r="B178" s="84" t="s">
        <v>211</v>
      </c>
      <c r="C178" s="85"/>
      <c r="D178" s="85"/>
      <c r="E178" s="85"/>
      <c r="F178" s="85"/>
      <c r="G178" s="85"/>
      <c r="H178" s="70"/>
      <c r="I178" s="70"/>
      <c r="J178" s="70"/>
      <c r="K178" s="86">
        <f>(+M88+M90)/E59</f>
        <v>2.5283217045539801E-2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14.67</v>
      </c>
      <c r="L183" s="27" t="s">
        <v>139</v>
      </c>
      <c r="M183" s="27"/>
      <c r="N183" s="27"/>
      <c r="O183" s="6"/>
    </row>
    <row r="184" spans="1:15" ht="15.6" x14ac:dyDescent="0.3">
      <c r="A184" s="83"/>
      <c r="B184" s="84" t="s">
        <v>103</v>
      </c>
      <c r="C184" s="85"/>
      <c r="D184" s="85"/>
      <c r="E184" s="85"/>
      <c r="F184" s="85"/>
      <c r="G184" s="85"/>
      <c r="H184" s="70"/>
      <c r="I184" s="70"/>
      <c r="J184" s="70"/>
      <c r="K184" s="138">
        <f>K81/E59</f>
        <v>3.1315177432665618E-2</v>
      </c>
      <c r="L184" s="27"/>
      <c r="M184" s="27"/>
      <c r="N184" s="27"/>
      <c r="O184" s="6"/>
    </row>
    <row r="185" spans="1:15" ht="15.6" x14ac:dyDescent="0.3">
      <c r="A185" s="83"/>
      <c r="B185" s="84" t="s">
        <v>104</v>
      </c>
      <c r="C185" s="85"/>
      <c r="D185" s="85"/>
      <c r="E185" s="85"/>
      <c r="F185" s="85"/>
      <c r="G185" s="85"/>
      <c r="H185" s="70"/>
      <c r="I185" s="70"/>
      <c r="J185" s="70"/>
      <c r="K185" s="86">
        <v>0.33239999999999997</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159">
        <v>880</v>
      </c>
      <c r="K188" s="93">
        <v>25864</v>
      </c>
      <c r="L188" s="27"/>
      <c r="M188" s="160"/>
      <c r="N188" s="94"/>
      <c r="O188" s="6"/>
    </row>
    <row r="189" spans="1:15" ht="15.6" x14ac:dyDescent="0.3">
      <c r="A189" s="92"/>
      <c r="B189" s="84" t="s">
        <v>196</v>
      </c>
      <c r="C189" s="57"/>
      <c r="D189" s="57"/>
      <c r="E189" s="57"/>
      <c r="F189" s="57"/>
      <c r="G189" s="27"/>
      <c r="H189" s="27"/>
      <c r="I189" s="27"/>
      <c r="J189" s="33">
        <v>11</v>
      </c>
      <c r="K189" s="93">
        <v>372</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240</v>
      </c>
      <c r="C191" s="57"/>
      <c r="D191" s="57"/>
      <c r="E191" s="57"/>
      <c r="F191" s="57"/>
      <c r="G191" s="27"/>
      <c r="H191" s="27"/>
      <c r="I191" s="27"/>
      <c r="J191" s="27"/>
      <c r="K191" s="93">
        <f>+I59</f>
        <v>120</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2322</v>
      </c>
      <c r="L193" s="27"/>
      <c r="M193" s="87"/>
      <c r="N193" s="96"/>
      <c r="O193" s="6"/>
    </row>
    <row r="194" spans="1:15" ht="15.6" x14ac:dyDescent="0.3">
      <c r="A194" s="92"/>
      <c r="B194" s="84" t="s">
        <v>111</v>
      </c>
      <c r="C194" s="57"/>
      <c r="D194" s="57"/>
      <c r="E194" s="57"/>
      <c r="F194" s="57"/>
      <c r="G194" s="57"/>
      <c r="H194" s="27"/>
      <c r="I194" s="27"/>
      <c r="J194" s="27"/>
      <c r="K194" s="93">
        <f>'April 2009'!K194+'July 2009'!K193</f>
        <v>16018</v>
      </c>
      <c r="L194" s="27"/>
      <c r="M194" s="87"/>
      <c r="N194" s="96"/>
      <c r="O194" s="6"/>
    </row>
    <row r="195" spans="1:15" ht="15.6" x14ac:dyDescent="0.3">
      <c r="A195" s="92"/>
      <c r="B195" s="84" t="s">
        <v>112</v>
      </c>
      <c r="C195" s="57"/>
      <c r="D195" s="57"/>
      <c r="E195" s="57"/>
      <c r="F195" s="57"/>
      <c r="G195" s="57"/>
      <c r="H195" s="27"/>
      <c r="I195" s="27"/>
      <c r="J195" s="27"/>
      <c r="K195" s="157">
        <f>+'April 2009'!K195+350</f>
        <v>4908</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10</v>
      </c>
      <c r="L197" s="27"/>
      <c r="M197" s="87"/>
      <c r="N197" s="96"/>
      <c r="O197" s="6"/>
    </row>
    <row r="198" spans="1:15" ht="15.6" x14ac:dyDescent="0.3">
      <c r="A198" s="92"/>
      <c r="B198" s="84" t="s">
        <v>113</v>
      </c>
      <c r="C198" s="57"/>
      <c r="D198" s="57"/>
      <c r="E198" s="97"/>
      <c r="F198" s="97"/>
      <c r="G198" s="98"/>
      <c r="H198" s="27"/>
      <c r="I198" s="27"/>
      <c r="J198" s="27"/>
      <c r="K198" s="68">
        <v>13.94</v>
      </c>
      <c r="L198" s="27"/>
      <c r="M198" s="87"/>
      <c r="N198" s="96"/>
      <c r="O198" s="6"/>
    </row>
    <row r="199" spans="1:15" ht="15.6" x14ac:dyDescent="0.3">
      <c r="A199" s="92"/>
      <c r="B199" s="84" t="s">
        <v>114</v>
      </c>
      <c r="C199" s="57"/>
      <c r="D199" s="57"/>
      <c r="E199" s="97"/>
      <c r="F199" s="97"/>
      <c r="G199" s="98"/>
      <c r="H199" s="27"/>
      <c r="I199" s="27"/>
      <c r="J199" s="27"/>
      <c r="K199" s="68">
        <v>6.94</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6683</v>
      </c>
      <c r="J204" s="103">
        <f>I204/I213</f>
        <v>0.88364405659129974</v>
      </c>
      <c r="K204" s="56">
        <v>165608</v>
      </c>
      <c r="L204" s="136">
        <f>K204/K213</f>
        <v>0.86492019720899138</v>
      </c>
      <c r="M204" s="87"/>
      <c r="N204" s="96"/>
      <c r="O204" s="6"/>
    </row>
    <row r="205" spans="1:15" ht="15.6" x14ac:dyDescent="0.3">
      <c r="A205" s="26"/>
      <c r="B205" s="57" t="s">
        <v>117</v>
      </c>
      <c r="C205" s="102"/>
      <c r="D205" s="102"/>
      <c r="E205" s="57"/>
      <c r="F205" s="102"/>
      <c r="G205" s="27"/>
      <c r="H205" s="103"/>
      <c r="I205" s="57">
        <v>286</v>
      </c>
      <c r="J205" s="103">
        <f>I205/I213</f>
        <v>3.7815681607827584E-2</v>
      </c>
      <c r="K205" s="56">
        <v>8237</v>
      </c>
      <c r="L205" s="136">
        <f>K205/K213</f>
        <v>4.3019344865045543E-2</v>
      </c>
      <c r="M205" s="87"/>
      <c r="N205" s="96"/>
      <c r="O205" s="6"/>
    </row>
    <row r="206" spans="1:15" ht="15.6" x14ac:dyDescent="0.3">
      <c r="A206" s="26"/>
      <c r="B206" s="57" t="s">
        <v>118</v>
      </c>
      <c r="C206" s="102"/>
      <c r="D206" s="102"/>
      <c r="E206" s="57"/>
      <c r="F206" s="102"/>
      <c r="G206" s="27"/>
      <c r="H206" s="103"/>
      <c r="I206" s="57">
        <v>153</v>
      </c>
      <c r="J206" s="103">
        <f>I206/I213</f>
        <v>2.023006743355811E-2</v>
      </c>
      <c r="K206" s="56">
        <v>4224</v>
      </c>
      <c r="L206" s="136">
        <f>K206/K213</f>
        <v>2.206066683379293E-2</v>
      </c>
      <c r="M206" s="87"/>
      <c r="N206" s="94"/>
      <c r="O206" s="6"/>
    </row>
    <row r="207" spans="1:15" ht="15.6" x14ac:dyDescent="0.3">
      <c r="A207" s="26"/>
      <c r="B207" s="57" t="s">
        <v>167</v>
      </c>
      <c r="C207" s="102"/>
      <c r="D207" s="102"/>
      <c r="E207" s="57"/>
      <c r="F207" s="102"/>
      <c r="G207" s="27"/>
      <c r="H207" s="103"/>
      <c r="I207" s="57">
        <v>121</v>
      </c>
      <c r="J207" s="103">
        <f>I207/I213</f>
        <v>1.5998942218696285E-2</v>
      </c>
      <c r="K207" s="56">
        <v>3631</v>
      </c>
      <c r="L207" s="136">
        <f>K207/K213</f>
        <v>1.8963608256037438E-2</v>
      </c>
      <c r="M207" s="87"/>
      <c r="N207" s="96"/>
      <c r="O207" s="6"/>
    </row>
    <row r="208" spans="1:15" ht="15.6" x14ac:dyDescent="0.3">
      <c r="A208" s="26"/>
      <c r="B208" s="57" t="s">
        <v>168</v>
      </c>
      <c r="C208" s="102"/>
      <c r="D208" s="102"/>
      <c r="E208" s="57"/>
      <c r="F208" s="102"/>
      <c r="G208" s="27"/>
      <c r="H208" s="103"/>
      <c r="I208" s="57">
        <v>85</v>
      </c>
      <c r="J208" s="103">
        <f>I208/I213</f>
        <v>1.1238926351976729E-2</v>
      </c>
      <c r="K208" s="56">
        <v>2467</v>
      </c>
      <c r="L208" s="136">
        <f>K208/K213</f>
        <v>1.2884390406952453E-2</v>
      </c>
      <c r="M208" s="87"/>
      <c r="N208" s="96"/>
      <c r="O208" s="6"/>
    </row>
    <row r="209" spans="1:15" ht="15.6" x14ac:dyDescent="0.3">
      <c r="A209" s="26"/>
      <c r="B209" s="57" t="s">
        <v>169</v>
      </c>
      <c r="C209" s="102"/>
      <c r="D209" s="102"/>
      <c r="E209" s="57"/>
      <c r="F209" s="102"/>
      <c r="G209" s="27"/>
      <c r="H209" s="103"/>
      <c r="I209" s="57">
        <v>54</v>
      </c>
      <c r="J209" s="103">
        <f>I209/I213</f>
        <v>7.1400238000793332E-3</v>
      </c>
      <c r="K209" s="56">
        <v>1513</v>
      </c>
      <c r="L209" s="136">
        <f>K209/K213</f>
        <v>7.9019386646611515E-3</v>
      </c>
      <c r="M209" s="87"/>
      <c r="N209" s="96"/>
      <c r="O209" s="6"/>
    </row>
    <row r="210" spans="1:15" ht="15.6" x14ac:dyDescent="0.3">
      <c r="A210" s="26"/>
      <c r="B210" s="57" t="s">
        <v>176</v>
      </c>
      <c r="C210" s="102"/>
      <c r="D210" s="102"/>
      <c r="E210" s="57"/>
      <c r="F210" s="102"/>
      <c r="G210" s="27"/>
      <c r="H210" s="103"/>
      <c r="I210" s="57">
        <v>111</v>
      </c>
      <c r="J210" s="103">
        <f>I210/I213</f>
        <v>1.4676715589051963E-2</v>
      </c>
      <c r="K210" s="56">
        <v>3642</v>
      </c>
      <c r="L210" s="136">
        <f>K210/K213</f>
        <v>1.902105790925044E-2</v>
      </c>
      <c r="M210" s="87"/>
      <c r="N210" s="94"/>
      <c r="O210" s="6"/>
    </row>
    <row r="211" spans="1:15" ht="15.6" x14ac:dyDescent="0.3">
      <c r="A211" s="26"/>
      <c r="B211" s="57" t="s">
        <v>202</v>
      </c>
      <c r="C211" s="102"/>
      <c r="D211" s="102"/>
      <c r="E211" s="57"/>
      <c r="F211" s="102"/>
      <c r="G211" s="27"/>
      <c r="H211" s="103"/>
      <c r="I211" s="57">
        <v>70</v>
      </c>
      <c r="J211" s="103">
        <f>+I211/I213</f>
        <v>9.2555864075102474E-3</v>
      </c>
      <c r="K211" s="56">
        <v>2150</v>
      </c>
      <c r="L211" s="136">
        <f>+K211/K213</f>
        <v>1.1228795855268656E-2</v>
      </c>
      <c r="M211" s="87"/>
      <c r="N211" s="94"/>
      <c r="O211" s="6"/>
    </row>
    <row r="212" spans="1:15" ht="15.6" x14ac:dyDescent="0.3">
      <c r="A212" s="26"/>
      <c r="B212" s="57" t="s">
        <v>170</v>
      </c>
      <c r="C212" s="102"/>
      <c r="D212" s="102"/>
      <c r="E212" s="57"/>
      <c r="F212" s="102"/>
      <c r="G212" s="3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37"/>
      <c r="H213" s="27"/>
      <c r="I213" s="37">
        <f>SUM(I204:I212)</f>
        <v>7563</v>
      </c>
      <c r="J213" s="136">
        <f>SUM(J204:J212)</f>
        <v>1</v>
      </c>
      <c r="K213" s="56">
        <f>SUM(K204:K212)</f>
        <v>191472</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232</v>
      </c>
      <c r="C215" s="27"/>
      <c r="D215" s="27"/>
      <c r="E215" s="27"/>
      <c r="F215" s="27"/>
      <c r="G215" s="27"/>
      <c r="H215" s="27"/>
      <c r="I215" s="37"/>
      <c r="J215" s="136">
        <v>1.0454000000000001</v>
      </c>
      <c r="K215" s="56"/>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JULY 2009</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1100-000000000000}"/>
    <hyperlink ref="K201" r:id="rId2" xr:uid="{00000000-0004-0000-11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40140</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239</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122472.13440000001</v>
      </c>
      <c r="D31" s="35"/>
      <c r="E31" s="34">
        <v>42000</v>
      </c>
      <c r="F31" s="34"/>
      <c r="G31" s="34">
        <v>27000</v>
      </c>
      <c r="H31" s="34"/>
      <c r="I31" s="34"/>
      <c r="J31" s="34"/>
      <c r="K31" s="34"/>
      <c r="L31" s="143"/>
      <c r="M31" s="34">
        <f>C31+E31+G31</f>
        <v>191472.13440000001</v>
      </c>
      <c r="N31" s="37"/>
      <c r="O31" s="6"/>
    </row>
    <row r="32" spans="1:15" ht="15.6" x14ac:dyDescent="0.3">
      <c r="A32" s="30"/>
      <c r="B32" s="31" t="s">
        <v>16</v>
      </c>
      <c r="C32" s="38">
        <f>C30*C33</f>
        <v>114422.38500000001</v>
      </c>
      <c r="D32" s="39"/>
      <c r="E32" s="38">
        <v>42000</v>
      </c>
      <c r="F32" s="38"/>
      <c r="G32" s="38">
        <v>27000</v>
      </c>
      <c r="H32" s="38"/>
      <c r="I32" s="38"/>
      <c r="J32" s="38"/>
      <c r="K32" s="38"/>
      <c r="L32" s="40"/>
      <c r="M32" s="34">
        <f>C32+E32+G32</f>
        <v>183422.38500000001</v>
      </c>
      <c r="N32" s="37"/>
      <c r="O32" s="6"/>
    </row>
    <row r="33" spans="1:15" ht="15.6" x14ac:dyDescent="0.3">
      <c r="A33" s="30"/>
      <c r="B33" s="130" t="s">
        <v>174</v>
      </c>
      <c r="C33" s="134">
        <v>0.49533500000000003</v>
      </c>
      <c r="D33" s="133"/>
      <c r="E33" s="134">
        <v>1</v>
      </c>
      <c r="F33" s="134"/>
      <c r="G33" s="134">
        <v>1</v>
      </c>
      <c r="H33" s="132"/>
      <c r="I33" s="132"/>
      <c r="J33" s="38"/>
      <c r="K33" s="38"/>
      <c r="L33" s="40"/>
      <c r="M33" s="38"/>
      <c r="N33" s="37"/>
      <c r="O33" s="6"/>
    </row>
    <row r="34" spans="1:15" ht="15.6" x14ac:dyDescent="0.3">
      <c r="A34" s="30"/>
      <c r="B34" s="130" t="s">
        <v>175</v>
      </c>
      <c r="C34" s="134">
        <v>0.53018240000000005</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9.5750000000000002E-3</v>
      </c>
      <c r="D36" s="27"/>
      <c r="E36" s="41">
        <v>1.5075E-2</v>
      </c>
      <c r="F36" s="42"/>
      <c r="G36" s="41">
        <v>1.7575E-2</v>
      </c>
      <c r="H36" s="42"/>
      <c r="I36" s="41"/>
      <c r="J36" s="42"/>
      <c r="K36" s="41"/>
      <c r="L36" s="142"/>
      <c r="M36" s="42">
        <f>SUMPRODUCT(C36:G36,C31:G31)/M31</f>
        <v>1.1909543360059813E-2</v>
      </c>
      <c r="N36" s="27"/>
      <c r="O36" s="6"/>
    </row>
    <row r="37" spans="1:15" ht="15.6" x14ac:dyDescent="0.3">
      <c r="A37" s="26"/>
      <c r="B37" s="27" t="s">
        <v>19</v>
      </c>
      <c r="C37" s="41">
        <v>1.5568800000000001E-2</v>
      </c>
      <c r="D37" s="27"/>
      <c r="E37" s="41">
        <v>2.1068799999999999E-2</v>
      </c>
      <c r="F37" s="42"/>
      <c r="G37" s="41">
        <v>2.3568800000000001E-2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0.60302885663500194</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40133</v>
      </c>
      <c r="N47" s="27"/>
      <c r="O47" s="6"/>
    </row>
    <row r="48" spans="1:15" ht="15.6" x14ac:dyDescent="0.3">
      <c r="A48" s="26"/>
      <c r="B48" s="27" t="s">
        <v>26</v>
      </c>
      <c r="C48" s="27"/>
      <c r="D48" s="27"/>
      <c r="E48" s="27"/>
      <c r="F48" s="27"/>
      <c r="G48" s="27"/>
      <c r="H48" s="27"/>
      <c r="I48" s="27"/>
      <c r="J48" s="27">
        <f>M48-K48+1</f>
        <v>94</v>
      </c>
      <c r="K48" s="48">
        <v>39948</v>
      </c>
      <c r="L48" s="49"/>
      <c r="M48" s="48">
        <v>40041</v>
      </c>
      <c r="N48" s="27"/>
      <c r="O48" s="6"/>
    </row>
    <row r="49" spans="1:15" ht="15.6" x14ac:dyDescent="0.3">
      <c r="A49" s="26"/>
      <c r="B49" s="27" t="s">
        <v>27</v>
      </c>
      <c r="C49" s="27"/>
      <c r="D49" s="27"/>
      <c r="E49" s="27"/>
      <c r="F49" s="27"/>
      <c r="G49" s="27"/>
      <c r="H49" s="27"/>
      <c r="I49" s="27"/>
      <c r="J49" s="27">
        <f>M49-K49+1</f>
        <v>91</v>
      </c>
      <c r="K49" s="48">
        <v>40042</v>
      </c>
      <c r="L49" s="49"/>
      <c r="M49" s="48">
        <v>40132</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40119</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242</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191472</v>
      </c>
      <c r="F59" s="37"/>
      <c r="G59" s="37">
        <f>3715+2452+25+1898</f>
        <v>8090</v>
      </c>
      <c r="H59" s="37"/>
      <c r="I59" s="37">
        <v>40</v>
      </c>
      <c r="J59" s="37"/>
      <c r="K59" s="37">
        <v>0</v>
      </c>
      <c r="L59" s="37"/>
      <c r="M59" s="56">
        <f>E59-G59+I59-K59</f>
        <v>183422</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191472</v>
      </c>
      <c r="F63" s="37"/>
      <c r="G63" s="37">
        <f>SUM(G59:G62)</f>
        <v>8090</v>
      </c>
      <c r="H63" s="37"/>
      <c r="I63" s="37">
        <f>SUM(I59:I62)</f>
        <v>40</v>
      </c>
      <c r="J63" s="37"/>
      <c r="K63" s="37">
        <f>SUM(K59:K62)</f>
        <v>0</v>
      </c>
      <c r="L63" s="37"/>
      <c r="M63" s="57">
        <f>SUM(M59:M62)</f>
        <v>183422</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0</v>
      </c>
      <c r="F74" s="37"/>
      <c r="G74" s="37"/>
      <c r="H74" s="37"/>
      <c r="I74" s="37"/>
      <c r="J74" s="37"/>
      <c r="K74" s="37"/>
      <c r="L74" s="37"/>
      <c r="M74" s="57">
        <f>K112-M73</f>
        <v>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191472</v>
      </c>
      <c r="F76" s="37"/>
      <c r="G76" s="57"/>
      <c r="H76" s="37"/>
      <c r="I76" s="57"/>
      <c r="J76" s="37"/>
      <c r="K76" s="57"/>
      <c r="L76" s="37"/>
      <c r="M76" s="57">
        <f>SUM(M63:M75)</f>
        <v>183422</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40116</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+'Oct 2008'!K112</f>
        <v>0</v>
      </c>
      <c r="L80" s="27"/>
      <c r="M80" s="56">
        <v>0</v>
      </c>
      <c r="N80" s="27"/>
      <c r="O80" s="6"/>
    </row>
    <row r="81" spans="1:16" ht="15.6" x14ac:dyDescent="0.3">
      <c r="A81" s="26"/>
      <c r="B81" s="27" t="s">
        <v>42</v>
      </c>
      <c r="C81" s="43" t="s">
        <v>207</v>
      </c>
      <c r="D81" s="60" t="s">
        <v>207</v>
      </c>
      <c r="E81" s="61"/>
      <c r="F81" s="27"/>
      <c r="G81" s="27"/>
      <c r="H81" s="27"/>
      <c r="I81" s="27"/>
      <c r="J81" s="27"/>
      <c r="K81" s="37">
        <f>8090-1898</f>
        <v>6192</v>
      </c>
      <c r="L81" s="27"/>
      <c r="M81" s="56"/>
      <c r="N81" s="27"/>
      <c r="O81" s="6"/>
    </row>
    <row r="82" spans="1:16" ht="15.6" x14ac:dyDescent="0.3">
      <c r="A82" s="26"/>
      <c r="B82" s="27" t="s">
        <v>204</v>
      </c>
      <c r="C82" s="43"/>
      <c r="D82" s="60"/>
      <c r="E82" s="61"/>
      <c r="F82" s="27"/>
      <c r="G82" s="27"/>
      <c r="H82" s="27"/>
      <c r="I82" s="27"/>
      <c r="J82" s="27"/>
      <c r="K82" s="37"/>
      <c r="L82" s="27"/>
      <c r="M82" s="56">
        <f>6786+25-2426</f>
        <v>4385</v>
      </c>
      <c r="N82" s="27"/>
      <c r="O82" s="6"/>
    </row>
    <row r="83" spans="1:16" ht="15.6" x14ac:dyDescent="0.3">
      <c r="A83" s="26"/>
      <c r="B83" s="27" t="s">
        <v>205</v>
      </c>
      <c r="C83" s="43"/>
      <c r="D83" s="60"/>
      <c r="E83" s="61"/>
      <c r="F83" s="27"/>
      <c r="G83" s="27"/>
      <c r="H83" s="27"/>
      <c r="I83" s="27"/>
      <c r="J83" s="27"/>
      <c r="K83" s="37"/>
      <c r="L83" s="27"/>
      <c r="M83" s="56">
        <v>393</v>
      </c>
      <c r="N83" s="27"/>
      <c r="O83" s="6"/>
    </row>
    <row r="84" spans="1:16" ht="15.6" x14ac:dyDescent="0.3">
      <c r="A84" s="26"/>
      <c r="B84" s="27" t="s">
        <v>206</v>
      </c>
      <c r="C84" s="43"/>
      <c r="D84" s="60"/>
      <c r="E84" s="61"/>
      <c r="F84" s="27"/>
      <c r="G84" s="27"/>
      <c r="H84" s="27"/>
      <c r="I84" s="27"/>
      <c r="J84" s="27"/>
      <c r="K84" s="37"/>
      <c r="L84" s="27"/>
      <c r="M84" s="56">
        <v>55</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6192</v>
      </c>
      <c r="L86" s="27"/>
      <c r="M86" s="57">
        <f>SUM(M80:M85)</f>
        <v>4833</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6192</v>
      </c>
      <c r="L88" s="27"/>
      <c r="M88" s="57">
        <f>M86+M87</f>
        <v>4833</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0</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-73-55-2</f>
        <v>-130</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-292</v>
      </c>
      <c r="N94" s="27"/>
      <c r="O94" s="6"/>
    </row>
    <row r="95" spans="1:16" ht="15.6" x14ac:dyDescent="0.3">
      <c r="A95" s="26">
        <v>5</v>
      </c>
      <c r="B95" s="27" t="s">
        <v>52</v>
      </c>
      <c r="C95" s="27"/>
      <c r="D95" s="27"/>
      <c r="E95" s="27"/>
      <c r="F95" s="27"/>
      <c r="G95" s="27"/>
      <c r="H95" s="27"/>
      <c r="I95" s="27"/>
      <c r="J95" s="27"/>
      <c r="K95" s="27"/>
      <c r="L95" s="27"/>
      <c r="M95" s="56">
        <v>-158</v>
      </c>
      <c r="N95" s="27"/>
      <c r="O95" s="6"/>
    </row>
    <row r="96" spans="1:16" ht="15.6" x14ac:dyDescent="0.3">
      <c r="A96" s="26">
        <v>6</v>
      </c>
      <c r="B96" s="27" t="s">
        <v>172</v>
      </c>
      <c r="C96" s="27"/>
      <c r="D96" s="27"/>
      <c r="E96" s="27"/>
      <c r="F96" s="27"/>
      <c r="G96" s="27"/>
      <c r="H96" s="27"/>
      <c r="I96" s="27"/>
      <c r="J96" s="27"/>
      <c r="K96" s="27"/>
      <c r="L96" s="27"/>
      <c r="M96" s="56">
        <v>-118</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1898</v>
      </c>
      <c r="L98" s="27"/>
      <c r="M98" s="56">
        <v>-1898</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-72</v>
      </c>
      <c r="N102" s="27"/>
      <c r="O102" s="6"/>
    </row>
    <row r="103" spans="1:16" ht="15.6" x14ac:dyDescent="0.3">
      <c r="A103" s="26">
        <v>13</v>
      </c>
      <c r="B103" s="27" t="s">
        <v>195</v>
      </c>
      <c r="C103" s="27"/>
      <c r="D103" s="27"/>
      <c r="E103" s="27"/>
      <c r="F103" s="27"/>
      <c r="G103" s="27"/>
      <c r="H103" s="27"/>
      <c r="I103" s="27"/>
      <c r="J103" s="27"/>
      <c r="K103" s="27"/>
      <c r="L103" s="27"/>
      <c r="M103" s="56">
        <f>-M88-SUM(M90:M102)</f>
        <v>-2158</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-40</v>
      </c>
      <c r="L106" s="37"/>
      <c r="M106" s="56"/>
      <c r="N106" s="27"/>
      <c r="O106" s="6"/>
      <c r="P106" s="117"/>
    </row>
    <row r="107" spans="1:16" ht="15.6" x14ac:dyDescent="0.3">
      <c r="A107" s="26"/>
      <c r="B107" s="27" t="s">
        <v>187</v>
      </c>
      <c r="C107" s="27"/>
      <c r="D107" s="27"/>
      <c r="E107" s="27"/>
      <c r="F107" s="27"/>
      <c r="G107" s="27"/>
      <c r="H107" s="27"/>
      <c r="I107" s="27"/>
      <c r="J107" s="27"/>
      <c r="K107" s="37">
        <v>0</v>
      </c>
      <c r="L107" s="37"/>
      <c r="M107" s="56"/>
      <c r="N107" s="27"/>
      <c r="O107" s="6"/>
    </row>
    <row r="108" spans="1:16" ht="15.6" x14ac:dyDescent="0.3">
      <c r="A108" s="26"/>
      <c r="B108" s="27" t="s">
        <v>185</v>
      </c>
      <c r="C108" s="27"/>
      <c r="D108" s="27"/>
      <c r="E108" s="27"/>
      <c r="F108" s="27"/>
      <c r="G108" s="27"/>
      <c r="H108" s="27"/>
      <c r="I108" s="27"/>
      <c r="J108" s="27"/>
      <c r="K108" s="37">
        <v>-8050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+K106+K107+K108</f>
        <v>-8090</v>
      </c>
      <c r="L111" s="37"/>
      <c r="M111" s="37">
        <f>SUM(M89:M110)</f>
        <v>-4833</v>
      </c>
      <c r="N111" s="27"/>
      <c r="O111" s="6"/>
    </row>
    <row r="112" spans="1:16" ht="15.6" x14ac:dyDescent="0.3">
      <c r="A112" s="26"/>
      <c r="B112" s="27" t="s">
        <v>61</v>
      </c>
      <c r="C112" s="27"/>
      <c r="D112" s="27"/>
      <c r="E112" s="27"/>
      <c r="F112" s="27"/>
      <c r="G112" s="27"/>
      <c r="H112" s="27"/>
      <c r="I112" s="27"/>
      <c r="J112" s="27"/>
      <c r="K112" s="37">
        <f>K88+K111+K98</f>
        <v>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OCTOBER 2009</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-387</v>
      </c>
      <c r="N138" s="27"/>
      <c r="O138" s="6"/>
    </row>
    <row r="139" spans="1:15" ht="15.6" x14ac:dyDescent="0.3">
      <c r="A139" s="26"/>
      <c r="B139" s="27" t="s">
        <v>180</v>
      </c>
      <c r="C139" s="27"/>
      <c r="D139" s="27"/>
      <c r="E139" s="27"/>
      <c r="F139" s="27"/>
      <c r="G139" s="27"/>
      <c r="H139" s="27"/>
      <c r="I139" s="27"/>
      <c r="J139" s="27"/>
      <c r="K139" s="27"/>
      <c r="L139" s="27"/>
      <c r="M139" s="56">
        <f>1904+381</f>
        <v>2285</v>
      </c>
      <c r="N139" s="27"/>
      <c r="O139" s="6"/>
    </row>
    <row r="140" spans="1:15" ht="15.6" x14ac:dyDescent="0.3">
      <c r="A140" s="26"/>
      <c r="B140" s="27" t="s">
        <v>77</v>
      </c>
      <c r="C140" s="27"/>
      <c r="D140" s="27"/>
      <c r="E140" s="27"/>
      <c r="F140" s="27"/>
      <c r="G140" s="27"/>
      <c r="H140" s="27"/>
      <c r="I140" s="27"/>
      <c r="J140" s="27"/>
      <c r="K140" s="27"/>
      <c r="L140" s="27"/>
      <c r="M140" s="56">
        <f>M138+M137+M139</f>
        <v>1898</v>
      </c>
      <c r="N140" s="27"/>
      <c r="O140" s="6"/>
    </row>
    <row r="141" spans="1:15" ht="15.6" x14ac:dyDescent="0.3">
      <c r="A141" s="26"/>
      <c r="B141" s="27" t="s">
        <v>183</v>
      </c>
      <c r="C141" s="27"/>
      <c r="D141" s="27"/>
      <c r="E141" s="27"/>
      <c r="F141" s="27"/>
      <c r="G141" s="27"/>
      <c r="H141" s="27"/>
      <c r="I141" s="70"/>
      <c r="J141" s="27"/>
      <c r="K141" s="27"/>
      <c r="L141" s="27"/>
      <c r="M141" s="56">
        <f>M98</f>
        <v>-1898</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183422</v>
      </c>
      <c r="N147" s="27"/>
      <c r="O147" s="6"/>
      <c r="P147" s="117"/>
    </row>
    <row r="148" spans="1:16" ht="15.6" x14ac:dyDescent="0.3">
      <c r="A148" s="26"/>
      <c r="B148" s="27" t="s">
        <v>80</v>
      </c>
      <c r="C148" s="71"/>
      <c r="D148" s="71"/>
      <c r="E148" s="27"/>
      <c r="F148" s="27"/>
      <c r="G148" s="27"/>
      <c r="H148" s="27"/>
      <c r="I148" s="27"/>
      <c r="J148" s="27"/>
      <c r="K148" s="27"/>
      <c r="L148" s="27"/>
      <c r="M148" s="56">
        <f>M76</f>
        <v>183422</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+'July 2009'!I155</f>
        <v>7296</v>
      </c>
      <c r="J153" s="27"/>
      <c r="K153" s="56">
        <v>0</v>
      </c>
      <c r="L153" s="27"/>
      <c r="M153" s="56">
        <f>K153+I153</f>
        <v>7296</v>
      </c>
      <c r="N153" s="27"/>
      <c r="O153" s="6"/>
    </row>
    <row r="154" spans="1:16" ht="15.6" x14ac:dyDescent="0.3">
      <c r="A154" s="26"/>
      <c r="B154" s="27" t="s">
        <v>84</v>
      </c>
      <c r="C154" s="27"/>
      <c r="D154" s="27"/>
      <c r="E154" s="27"/>
      <c r="F154" s="27"/>
      <c r="G154" s="27"/>
      <c r="H154" s="27"/>
      <c r="I154" s="37">
        <v>40</v>
      </c>
      <c r="J154" s="27"/>
      <c r="K154" s="27">
        <v>0</v>
      </c>
      <c r="L154" s="27"/>
      <c r="M154" s="56">
        <f>K154+I154</f>
        <v>40</v>
      </c>
      <c r="N154" s="27"/>
      <c r="O154" s="6"/>
    </row>
    <row r="155" spans="1:16" ht="15.6" x14ac:dyDescent="0.3">
      <c r="A155" s="26"/>
      <c r="B155" s="27" t="s">
        <v>85</v>
      </c>
      <c r="C155" s="27"/>
      <c r="D155" s="27"/>
      <c r="E155" s="27"/>
      <c r="F155" s="27"/>
      <c r="G155" s="27"/>
      <c r="H155" s="27"/>
      <c r="I155" s="56">
        <f>I153+I154</f>
        <v>7336</v>
      </c>
      <c r="J155" s="27"/>
      <c r="K155" s="56">
        <f>K154+K153</f>
        <v>0</v>
      </c>
      <c r="L155" s="27"/>
      <c r="M155" s="56">
        <f>K155+I155</f>
        <v>7336</v>
      </c>
      <c r="N155" s="27"/>
      <c r="O155" s="6"/>
    </row>
    <row r="156" spans="1:16" ht="15.6" x14ac:dyDescent="0.3">
      <c r="A156" s="26"/>
      <c r="B156" s="27" t="s">
        <v>86</v>
      </c>
      <c r="C156" s="27"/>
      <c r="D156" s="27"/>
      <c r="E156" s="27"/>
      <c r="F156" s="27"/>
      <c r="G156" s="27"/>
      <c r="H156" s="27"/>
      <c r="I156" s="56">
        <f>I152-I155-K155</f>
        <v>7664</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16.099315068493151</v>
      </c>
      <c r="N160" s="27" t="s">
        <v>145</v>
      </c>
      <c r="O160" s="6"/>
    </row>
    <row r="161" spans="1:15" ht="15.6" x14ac:dyDescent="0.3">
      <c r="A161" s="26"/>
      <c r="B161" s="27" t="s">
        <v>89</v>
      </c>
      <c r="C161" s="27"/>
      <c r="D161" s="27"/>
      <c r="E161" s="27"/>
      <c r="F161" s="27"/>
      <c r="G161" s="27"/>
      <c r="H161" s="27"/>
      <c r="I161" s="27"/>
      <c r="J161" s="27"/>
      <c r="K161" s="27"/>
      <c r="L161" s="27"/>
      <c r="M161" s="73">
        <v>2.67</v>
      </c>
      <c r="N161" s="27" t="s">
        <v>145</v>
      </c>
      <c r="O161" s="6"/>
    </row>
    <row r="162" spans="1:15" ht="15.6" x14ac:dyDescent="0.3">
      <c r="A162" s="26"/>
      <c r="B162" s="27" t="s">
        <v>90</v>
      </c>
      <c r="C162" s="27"/>
      <c r="D162" s="27"/>
      <c r="E162" s="27"/>
      <c r="F162" s="27"/>
      <c r="G162" s="27"/>
      <c r="H162" s="27"/>
      <c r="I162" s="27"/>
      <c r="J162" s="27"/>
      <c r="K162" s="27"/>
      <c r="L162" s="27"/>
      <c r="M162" s="63">
        <f>(M88+M90+M91+M92+M93+M94)/-M95</f>
        <v>27.905063291139239</v>
      </c>
      <c r="N162" s="27" t="s">
        <v>145</v>
      </c>
      <c r="O162" s="6"/>
    </row>
    <row r="163" spans="1:15" ht="15.6" x14ac:dyDescent="0.3">
      <c r="A163" s="26"/>
      <c r="B163" s="27" t="s">
        <v>91</v>
      </c>
      <c r="C163" s="27"/>
      <c r="D163" s="27"/>
      <c r="E163" s="27"/>
      <c r="F163" s="27"/>
      <c r="G163" s="27"/>
      <c r="H163" s="27"/>
      <c r="I163" s="27"/>
      <c r="J163" s="27"/>
      <c r="K163" s="27"/>
      <c r="L163" s="27"/>
      <c r="M163" s="74">
        <v>7.95</v>
      </c>
      <c r="N163" s="27" t="s">
        <v>145</v>
      </c>
      <c r="O163" s="6"/>
    </row>
    <row r="164" spans="1:15" ht="15.6" x14ac:dyDescent="0.3">
      <c r="A164" s="26"/>
      <c r="B164" s="27" t="s">
        <v>181</v>
      </c>
      <c r="C164" s="27"/>
      <c r="D164" s="27"/>
      <c r="E164" s="27"/>
      <c r="F164" s="27"/>
      <c r="G164" s="27"/>
      <c r="H164" s="27"/>
      <c r="I164" s="27"/>
      <c r="J164" s="27"/>
      <c r="K164" s="27"/>
      <c r="L164" s="27"/>
      <c r="M164" s="63">
        <f>(M88+M90+M91+M92+M93+M94+M95)/-M96</f>
        <v>36.025423728813557</v>
      </c>
      <c r="N164" s="27" t="s">
        <v>145</v>
      </c>
      <c r="O164" s="6"/>
    </row>
    <row r="165" spans="1:15" ht="15.6" x14ac:dyDescent="0.3">
      <c r="A165" s="26"/>
      <c r="B165" s="27" t="s">
        <v>182</v>
      </c>
      <c r="C165" s="27"/>
      <c r="D165" s="27"/>
      <c r="E165" s="27"/>
      <c r="F165" s="27"/>
      <c r="G165" s="27"/>
      <c r="H165" s="27"/>
      <c r="I165" s="27"/>
      <c r="J165" s="27"/>
      <c r="K165" s="27"/>
      <c r="L165" s="27"/>
      <c r="M165" s="74">
        <v>10.34</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OCTOBER 2009</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40116</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9.5399999999999999E-2</v>
      </c>
      <c r="L175" s="27"/>
      <c r="M175" s="27"/>
      <c r="N175" s="27"/>
      <c r="O175" s="6"/>
    </row>
    <row r="176" spans="1:15" ht="15.6" x14ac:dyDescent="0.3">
      <c r="A176" s="83"/>
      <c r="B176" s="84" t="s">
        <v>97</v>
      </c>
      <c r="C176" s="85"/>
      <c r="D176" s="85"/>
      <c r="E176" s="85"/>
      <c r="F176" s="85"/>
      <c r="G176" s="85"/>
      <c r="H176" s="70"/>
      <c r="I176" s="70"/>
      <c r="J176" s="70"/>
      <c r="K176" s="86">
        <f>M36</f>
        <v>1.1909543360059813E-2</v>
      </c>
      <c r="L176" s="27"/>
      <c r="M176" s="27"/>
      <c r="N176" s="27"/>
      <c r="O176" s="6"/>
    </row>
    <row r="177" spans="1:15" ht="15.6" x14ac:dyDescent="0.3">
      <c r="A177" s="83"/>
      <c r="B177" s="84" t="s">
        <v>98</v>
      </c>
      <c r="C177" s="85"/>
      <c r="D177" s="85"/>
      <c r="E177" s="85"/>
      <c r="F177" s="85"/>
      <c r="G177" s="85"/>
      <c r="H177" s="70"/>
      <c r="I177" s="70"/>
      <c r="J177" s="70"/>
      <c r="K177" s="86">
        <f>K175-K176</f>
        <v>8.3490456639940189E-2</v>
      </c>
      <c r="L177" s="27"/>
      <c r="M177" s="27"/>
      <c r="N177" s="27"/>
      <c r="O177" s="6"/>
    </row>
    <row r="178" spans="1:15" ht="15.6" x14ac:dyDescent="0.3">
      <c r="A178" s="83"/>
      <c r="B178" s="84" t="s">
        <v>211</v>
      </c>
      <c r="C178" s="85"/>
      <c r="D178" s="85"/>
      <c r="E178" s="85"/>
      <c r="F178" s="85"/>
      <c r="G178" s="85"/>
      <c r="H178" s="70"/>
      <c r="I178" s="70"/>
      <c r="J178" s="70"/>
      <c r="K178" s="86">
        <f>(+M88+M90)/E59</f>
        <v>2.5241288543494611E-2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14.47</v>
      </c>
      <c r="L183" s="27" t="s">
        <v>139</v>
      </c>
      <c r="M183" s="27"/>
      <c r="N183" s="27"/>
      <c r="O183" s="6"/>
    </row>
    <row r="184" spans="1:15" ht="15.6" x14ac:dyDescent="0.3">
      <c r="A184" s="83"/>
      <c r="B184" s="84" t="s">
        <v>103</v>
      </c>
      <c r="C184" s="85"/>
      <c r="D184" s="85"/>
      <c r="E184" s="85"/>
      <c r="F184" s="85"/>
      <c r="G184" s="85"/>
      <c r="H184" s="70"/>
      <c r="I184" s="70"/>
      <c r="J184" s="70"/>
      <c r="K184" s="138">
        <f>K81/E59</f>
        <v>3.2338932063173731E-2</v>
      </c>
      <c r="L184" s="27"/>
      <c r="M184" s="27"/>
      <c r="N184" s="27"/>
      <c r="O184" s="6"/>
    </row>
    <row r="185" spans="1:15" ht="15.6" x14ac:dyDescent="0.3">
      <c r="A185" s="83"/>
      <c r="B185" s="84" t="s">
        <v>104</v>
      </c>
      <c r="C185" s="85"/>
      <c r="D185" s="85"/>
      <c r="E185" s="85"/>
      <c r="F185" s="85"/>
      <c r="G185" s="85"/>
      <c r="H185" s="70"/>
      <c r="I185" s="70"/>
      <c r="J185" s="70"/>
      <c r="K185" s="86">
        <v>0.32300000000000001</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159">
        <v>931</v>
      </c>
      <c r="K188" s="93">
        <v>26962</v>
      </c>
      <c r="L188" s="27"/>
      <c r="M188" s="160"/>
      <c r="N188" s="94"/>
      <c r="O188" s="6"/>
    </row>
    <row r="189" spans="1:15" ht="15.6" x14ac:dyDescent="0.3">
      <c r="A189" s="92"/>
      <c r="B189" s="84" t="s">
        <v>196</v>
      </c>
      <c r="C189" s="57"/>
      <c r="D189" s="57"/>
      <c r="E189" s="57"/>
      <c r="F189" s="57"/>
      <c r="G189" s="27"/>
      <c r="H189" s="27"/>
      <c r="I189" s="27"/>
      <c r="J189" s="33">
        <v>5</v>
      </c>
      <c r="K189" s="93">
        <v>167</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240</v>
      </c>
      <c r="C191" s="57"/>
      <c r="D191" s="57"/>
      <c r="E191" s="57"/>
      <c r="F191" s="57"/>
      <c r="G191" s="27"/>
      <c r="H191" s="27"/>
      <c r="I191" s="27"/>
      <c r="J191" s="27"/>
      <c r="K191" s="93">
        <f>+I59</f>
        <v>40</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1898</v>
      </c>
      <c r="L193" s="27"/>
      <c r="M193" s="87"/>
      <c r="N193" s="96"/>
      <c r="O193" s="6"/>
    </row>
    <row r="194" spans="1:15" ht="15.6" x14ac:dyDescent="0.3">
      <c r="A194" s="92"/>
      <c r="B194" s="84" t="s">
        <v>111</v>
      </c>
      <c r="C194" s="57"/>
      <c r="D194" s="57"/>
      <c r="E194" s="57"/>
      <c r="F194" s="57"/>
      <c r="G194" s="57"/>
      <c r="H194" s="27"/>
      <c r="I194" s="27"/>
      <c r="J194" s="27"/>
      <c r="K194" s="93">
        <f>'July 2009'!K194+'Oct 2009'!K193</f>
        <v>17916</v>
      </c>
      <c r="L194" s="27"/>
      <c r="M194" s="87"/>
      <c r="N194" s="96"/>
      <c r="O194" s="6"/>
    </row>
    <row r="195" spans="1:15" ht="15.6" x14ac:dyDescent="0.3">
      <c r="A195" s="92"/>
      <c r="B195" s="84" t="s">
        <v>112</v>
      </c>
      <c r="C195" s="57"/>
      <c r="D195" s="57"/>
      <c r="E195" s="57"/>
      <c r="F195" s="57"/>
      <c r="G195" s="57"/>
      <c r="H195" s="27"/>
      <c r="I195" s="27"/>
      <c r="J195" s="27"/>
      <c r="K195" s="157">
        <f>+'July 2009'!K195+380</f>
        <v>5288</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11</v>
      </c>
      <c r="L197" s="27"/>
      <c r="M197" s="87"/>
      <c r="N197" s="96"/>
      <c r="O197" s="6"/>
    </row>
    <row r="198" spans="1:15" ht="15.6" x14ac:dyDescent="0.3">
      <c r="A198" s="92"/>
      <c r="B198" s="84" t="s">
        <v>113</v>
      </c>
      <c r="C198" s="57"/>
      <c r="D198" s="57"/>
      <c r="E198" s="97"/>
      <c r="F198" s="97"/>
      <c r="G198" s="98"/>
      <c r="H198" s="27"/>
      <c r="I198" s="27"/>
      <c r="J198" s="27"/>
      <c r="K198" s="68">
        <v>16.27</v>
      </c>
      <c r="L198" s="27"/>
      <c r="M198" s="87"/>
      <c r="N198" s="96"/>
      <c r="O198" s="6"/>
    </row>
    <row r="199" spans="1:15" ht="15.6" x14ac:dyDescent="0.3">
      <c r="A199" s="92"/>
      <c r="B199" s="84" t="s">
        <v>114</v>
      </c>
      <c r="C199" s="57"/>
      <c r="D199" s="57"/>
      <c r="E199" s="97"/>
      <c r="F199" s="97"/>
      <c r="G199" s="98"/>
      <c r="H199" s="27"/>
      <c r="I199" s="27"/>
      <c r="J199" s="27"/>
      <c r="K199" s="68">
        <v>6.52</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6386</v>
      </c>
      <c r="J204" s="103">
        <f>I204/I213</f>
        <v>0.87276206095394282</v>
      </c>
      <c r="K204" s="56">
        <v>156460</v>
      </c>
      <c r="L204" s="136">
        <f>K204/K213</f>
        <v>0.85300563727360945</v>
      </c>
      <c r="M204" s="87"/>
      <c r="N204" s="96"/>
      <c r="O204" s="6"/>
    </row>
    <row r="205" spans="1:15" ht="15.6" x14ac:dyDescent="0.3">
      <c r="A205" s="26"/>
      <c r="B205" s="57" t="s">
        <v>117</v>
      </c>
      <c r="C205" s="102"/>
      <c r="D205" s="102"/>
      <c r="E205" s="57"/>
      <c r="F205" s="102"/>
      <c r="G205" s="27"/>
      <c r="H205" s="103"/>
      <c r="I205" s="57">
        <v>286</v>
      </c>
      <c r="J205" s="103">
        <f>I205/I213</f>
        <v>3.9087057537242037E-2</v>
      </c>
      <c r="K205" s="56">
        <v>7934</v>
      </c>
      <c r="L205" s="136">
        <f>K205/K213</f>
        <v>4.325544373085017E-2</v>
      </c>
      <c r="M205" s="87"/>
      <c r="N205" s="96"/>
      <c r="O205" s="6"/>
    </row>
    <row r="206" spans="1:15" ht="15.6" x14ac:dyDescent="0.3">
      <c r="A206" s="26"/>
      <c r="B206" s="57" t="s">
        <v>118</v>
      </c>
      <c r="C206" s="102"/>
      <c r="D206" s="102"/>
      <c r="E206" s="57"/>
      <c r="F206" s="102"/>
      <c r="G206" s="27"/>
      <c r="H206" s="103"/>
      <c r="I206" s="57">
        <v>166</v>
      </c>
      <c r="J206" s="103">
        <f>I206/I213</f>
        <v>2.2686893535602024E-2</v>
      </c>
      <c r="K206" s="56">
        <v>4581</v>
      </c>
      <c r="L206" s="136">
        <f>K206/K213</f>
        <v>2.4975193815354756E-2</v>
      </c>
      <c r="M206" s="87"/>
      <c r="N206" s="94"/>
      <c r="O206" s="6"/>
    </row>
    <row r="207" spans="1:15" ht="15.6" x14ac:dyDescent="0.3">
      <c r="A207" s="26"/>
      <c r="B207" s="57" t="s">
        <v>167</v>
      </c>
      <c r="C207" s="102"/>
      <c r="D207" s="102"/>
      <c r="E207" s="57"/>
      <c r="F207" s="102"/>
      <c r="G207" s="27"/>
      <c r="H207" s="103"/>
      <c r="I207" s="57">
        <v>117</v>
      </c>
      <c r="J207" s="103">
        <f>I207/I213</f>
        <v>1.5990159901599015E-2</v>
      </c>
      <c r="K207" s="56">
        <v>3623</v>
      </c>
      <c r="L207" s="136">
        <f>K207/K213</f>
        <v>1.9752265268070352E-2</v>
      </c>
      <c r="M207" s="87"/>
      <c r="N207" s="96"/>
      <c r="O207" s="6"/>
    </row>
    <row r="208" spans="1:15" ht="15.6" x14ac:dyDescent="0.3">
      <c r="A208" s="26"/>
      <c r="B208" s="57" t="s">
        <v>168</v>
      </c>
      <c r="C208" s="102"/>
      <c r="D208" s="102"/>
      <c r="E208" s="57"/>
      <c r="F208" s="102"/>
      <c r="G208" s="27"/>
      <c r="H208" s="103"/>
      <c r="I208" s="57">
        <v>95</v>
      </c>
      <c r="J208" s="103">
        <f>I208/I213</f>
        <v>1.2983463167965012E-2</v>
      </c>
      <c r="K208" s="56">
        <v>2869</v>
      </c>
      <c r="L208" s="136">
        <f>K208/K213</f>
        <v>1.564152609828701E-2</v>
      </c>
      <c r="M208" s="87"/>
      <c r="N208" s="96"/>
      <c r="O208" s="6"/>
    </row>
    <row r="209" spans="1:15" ht="15.6" x14ac:dyDescent="0.3">
      <c r="A209" s="26"/>
      <c r="B209" s="57" t="s">
        <v>169</v>
      </c>
      <c r="C209" s="102"/>
      <c r="D209" s="102"/>
      <c r="E209" s="57"/>
      <c r="F209" s="102"/>
      <c r="G209" s="27"/>
      <c r="H209" s="103"/>
      <c r="I209" s="57">
        <v>75</v>
      </c>
      <c r="J209" s="103">
        <f>I209/I213</f>
        <v>1.025010250102501E-2</v>
      </c>
      <c r="K209" s="56">
        <v>2149</v>
      </c>
      <c r="L209" s="136">
        <f>K209/K213</f>
        <v>1.1716151824753846E-2</v>
      </c>
      <c r="M209" s="87"/>
      <c r="N209" s="96"/>
      <c r="O209" s="6"/>
    </row>
    <row r="210" spans="1:15" ht="15.6" x14ac:dyDescent="0.3">
      <c r="A210" s="26"/>
      <c r="B210" s="57" t="s">
        <v>176</v>
      </c>
      <c r="C210" s="102"/>
      <c r="D210" s="102"/>
      <c r="E210" s="57"/>
      <c r="F210" s="102"/>
      <c r="G210" s="27"/>
      <c r="H210" s="103"/>
      <c r="I210" s="57">
        <v>132</v>
      </c>
      <c r="J210" s="103">
        <f>I210/I213</f>
        <v>1.8040180401804017E-2</v>
      </c>
      <c r="K210" s="56">
        <v>3854</v>
      </c>
      <c r="L210" s="136">
        <f>K210/K213</f>
        <v>2.1011656180828907E-2</v>
      </c>
      <c r="M210" s="87"/>
      <c r="N210" s="94"/>
      <c r="O210" s="6"/>
    </row>
    <row r="211" spans="1:15" ht="15.6" x14ac:dyDescent="0.3">
      <c r="A211" s="26"/>
      <c r="B211" s="57" t="s">
        <v>202</v>
      </c>
      <c r="C211" s="102"/>
      <c r="D211" s="102"/>
      <c r="E211" s="57"/>
      <c r="F211" s="102"/>
      <c r="G211" s="27"/>
      <c r="H211" s="103"/>
      <c r="I211" s="57">
        <v>60</v>
      </c>
      <c r="J211" s="103">
        <f>+I211/I213</f>
        <v>8.2000820008200082E-3</v>
      </c>
      <c r="K211" s="56">
        <v>1952</v>
      </c>
      <c r="L211" s="136">
        <f>+K211/K213</f>
        <v>1.0642125808245466E-2</v>
      </c>
      <c r="M211" s="87"/>
      <c r="N211" s="94"/>
      <c r="O211" s="6"/>
    </row>
    <row r="212" spans="1:15" ht="15.6" x14ac:dyDescent="0.3">
      <c r="A212" s="26"/>
      <c r="B212" s="57" t="s">
        <v>170</v>
      </c>
      <c r="C212" s="102"/>
      <c r="D212" s="102"/>
      <c r="E212" s="57"/>
      <c r="F212" s="102"/>
      <c r="G212" s="3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37"/>
      <c r="H213" s="27"/>
      <c r="I213" s="37">
        <f>SUM(I204:I212)</f>
        <v>7317</v>
      </c>
      <c r="J213" s="136">
        <f>SUM(J204:J212)</f>
        <v>1</v>
      </c>
      <c r="K213" s="56">
        <f>SUM(K204:K212)</f>
        <v>183422</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232</v>
      </c>
      <c r="C215" s="27"/>
      <c r="D215" s="27"/>
      <c r="E215" s="27"/>
      <c r="F215" s="27"/>
      <c r="G215" s="27"/>
      <c r="H215" s="27"/>
      <c r="I215" s="37"/>
      <c r="J215" s="136">
        <v>1.0005999999999999</v>
      </c>
      <c r="K215" s="56"/>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OCTOBER 2009</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1200-000000000000}"/>
    <hyperlink ref="K201" r:id="rId2" xr:uid="{00000000-0004-0000-12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2D2926"/>
  </sheetPr>
  <dimension ref="A1:P224"/>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49"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38580</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5.0756299999999997E-2</v>
      </c>
      <c r="D36" s="27"/>
      <c r="E36" s="41">
        <v>5.6256300000000002E-2</v>
      </c>
      <c r="F36" s="42"/>
      <c r="G36" s="41">
        <v>5.8756299999999997E-2</v>
      </c>
      <c r="H36" s="42"/>
      <c r="I36" s="41"/>
      <c r="J36" s="42"/>
      <c r="K36" s="41"/>
      <c r="L36" s="142"/>
      <c r="M36" s="42">
        <f>SUMPRODUCT(C36:G36,C31:G31)/M31</f>
        <v>5.2246299999999996E-2</v>
      </c>
      <c r="N36" s="27"/>
      <c r="O36" s="6"/>
    </row>
    <row r="37" spans="1:15" ht="15.6" x14ac:dyDescent="0.3">
      <c r="A37" s="26"/>
      <c r="B37" s="27" t="s">
        <v>19</v>
      </c>
      <c r="C37" s="41">
        <v>5.0837500000000001E-2</v>
      </c>
      <c r="D37" s="27"/>
      <c r="E37" s="41">
        <v>5.6337499999999999E-2</v>
      </c>
      <c r="F37" s="42"/>
      <c r="G37" s="41">
        <v>5.8837500000000001E-2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27"/>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38579</v>
      </c>
      <c r="N47" s="27"/>
      <c r="O47" s="6"/>
    </row>
    <row r="48" spans="1:15" ht="15.6" x14ac:dyDescent="0.3">
      <c r="A48" s="26"/>
      <c r="B48" s="27" t="s">
        <v>26</v>
      </c>
      <c r="C48" s="27"/>
      <c r="D48" s="27"/>
      <c r="E48" s="27"/>
      <c r="F48" s="27"/>
      <c r="G48" s="27"/>
      <c r="H48" s="27"/>
      <c r="I48" s="27"/>
      <c r="J48" s="27">
        <f>M48-K48+1</f>
        <v>152</v>
      </c>
      <c r="K48" s="48">
        <v>38336</v>
      </c>
      <c r="L48" s="49"/>
      <c r="M48" s="48">
        <v>38487</v>
      </c>
      <c r="N48" s="27"/>
      <c r="O48" s="6"/>
    </row>
    <row r="49" spans="1:15" ht="15.6" x14ac:dyDescent="0.3">
      <c r="A49" s="26"/>
      <c r="B49" s="27" t="s">
        <v>27</v>
      </c>
      <c r="C49" s="27"/>
      <c r="D49" s="27"/>
      <c r="E49" s="27"/>
      <c r="F49" s="27"/>
      <c r="G49" s="27"/>
      <c r="H49" s="27"/>
      <c r="I49" s="27"/>
      <c r="J49" s="27">
        <f>M49-K49+1</f>
        <v>91</v>
      </c>
      <c r="K49" s="48">
        <v>38488</v>
      </c>
      <c r="L49" s="49"/>
      <c r="M49" s="48">
        <v>38578</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38565</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197</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206723</v>
      </c>
      <c r="F59" s="37"/>
      <c r="G59" s="37">
        <f>24511+3094+446+323</f>
        <v>28374</v>
      </c>
      <c r="H59" s="37"/>
      <c r="I59" s="37">
        <f>142+91166</f>
        <v>91308</v>
      </c>
      <c r="J59" s="37"/>
      <c r="K59" s="37">
        <v>0</v>
      </c>
      <c r="L59" s="37"/>
      <c r="M59" s="56">
        <f>E59-G59+I59-K59</f>
        <v>269657</v>
      </c>
      <c r="N59" s="27"/>
      <c r="O59" s="6"/>
    </row>
    <row r="60" spans="1:15" ht="15.6" x14ac:dyDescent="0.3">
      <c r="A60" s="26"/>
      <c r="B60" s="27" t="s">
        <v>33</v>
      </c>
      <c r="C60" s="37">
        <f>748-206</f>
        <v>542</v>
      </c>
      <c r="D60" s="37"/>
      <c r="E60" s="56">
        <v>262</v>
      </c>
      <c r="F60" s="37"/>
      <c r="G60" s="37">
        <v>262</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206985</v>
      </c>
      <c r="F63" s="37"/>
      <c r="G63" s="37">
        <f>SUM(G59:G62)</f>
        <v>28636</v>
      </c>
      <c r="H63" s="37"/>
      <c r="I63" s="37">
        <f>SUM(I59:I62)</f>
        <v>91308</v>
      </c>
      <c r="J63" s="37"/>
      <c r="K63" s="37">
        <f>SUM(K59:K62)</f>
        <v>0</v>
      </c>
      <c r="L63" s="37"/>
      <c r="M63" s="57">
        <f>SUM(M59:M62)</f>
        <v>269657</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59167</v>
      </c>
      <c r="F73" s="37"/>
      <c r="G73" s="37"/>
      <c r="H73" s="37"/>
      <c r="I73" s="37">
        <v>-59167</v>
      </c>
      <c r="J73" s="37"/>
      <c r="K73" s="37"/>
      <c r="L73" s="37"/>
      <c r="M73" s="57">
        <f>+E73+I73</f>
        <v>0</v>
      </c>
      <c r="N73" s="27"/>
      <c r="O73" s="6"/>
    </row>
    <row r="74" spans="1:16" ht="15.6" x14ac:dyDescent="0.3">
      <c r="A74" s="26"/>
      <c r="B74" s="27" t="s">
        <v>171</v>
      </c>
      <c r="C74" s="37">
        <v>0</v>
      </c>
      <c r="D74" s="37"/>
      <c r="E74" s="37">
        <v>33848</v>
      </c>
      <c r="F74" s="37"/>
      <c r="G74" s="37"/>
      <c r="H74" s="37"/>
      <c r="I74" s="37"/>
      <c r="J74" s="37"/>
      <c r="K74" s="37"/>
      <c r="L74" s="37"/>
      <c r="M74" s="57">
        <f>K110-M73</f>
        <v>30343</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6"/>
      <c r="D79" s="16"/>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+'April 2005'!K109</f>
        <v>93015</v>
      </c>
      <c r="L80" s="27"/>
      <c r="M80" s="56">
        <v>0</v>
      </c>
      <c r="N80" s="27"/>
      <c r="O80" s="6"/>
    </row>
    <row r="81" spans="1:16" ht="15.6" x14ac:dyDescent="0.3">
      <c r="A81" s="26"/>
      <c r="B81" s="27" t="s">
        <v>42</v>
      </c>
      <c r="C81" s="43" t="s">
        <v>120</v>
      </c>
      <c r="D81" s="60">
        <v>38562</v>
      </c>
      <c r="E81" s="61"/>
      <c r="F81" s="27"/>
      <c r="G81" s="27"/>
      <c r="H81" s="27"/>
      <c r="I81" s="27"/>
      <c r="J81" s="27"/>
      <c r="K81" s="37">
        <f>28374-323</f>
        <v>28051</v>
      </c>
      <c r="L81" s="27"/>
      <c r="M81" s="56"/>
      <c r="N81" s="27"/>
      <c r="O81" s="6"/>
    </row>
    <row r="82" spans="1:16" ht="15.6" x14ac:dyDescent="0.3">
      <c r="A82" s="26"/>
      <c r="B82" s="27" t="s">
        <v>43</v>
      </c>
      <c r="C82" s="27"/>
      <c r="D82" s="27"/>
      <c r="E82" s="27"/>
      <c r="F82" s="27"/>
      <c r="G82" s="27"/>
      <c r="H82" s="27"/>
      <c r="I82" s="27"/>
      <c r="J82" s="27"/>
      <c r="K82" s="37"/>
      <c r="L82" s="27"/>
      <c r="M82" s="56">
        <f>7796+262</f>
        <v>8058</v>
      </c>
      <c r="N82" s="27"/>
      <c r="O82" s="6"/>
    </row>
    <row r="83" spans="1:16" ht="15.6" x14ac:dyDescent="0.3">
      <c r="A83" s="26"/>
      <c r="B83" s="27" t="s">
        <v>44</v>
      </c>
      <c r="C83" s="27"/>
      <c r="D83" s="27"/>
      <c r="E83" s="27"/>
      <c r="F83" s="27"/>
      <c r="G83" s="27"/>
      <c r="H83" s="27"/>
      <c r="I83" s="27"/>
      <c r="J83" s="27"/>
      <c r="K83" s="37"/>
      <c r="L83" s="27"/>
      <c r="M83" s="56"/>
      <c r="N83" s="27"/>
      <c r="O83" s="6"/>
    </row>
    <row r="84" spans="1:16" ht="15.6" x14ac:dyDescent="0.3">
      <c r="A84" s="26"/>
      <c r="B84" s="27" t="s">
        <v>45</v>
      </c>
      <c r="C84" s="27"/>
      <c r="D84" s="27"/>
      <c r="E84" s="27"/>
      <c r="F84" s="27"/>
      <c r="G84" s="27"/>
      <c r="H84" s="27"/>
      <c r="I84" s="27"/>
      <c r="J84" s="27"/>
      <c r="K84" s="37">
        <f>SUM(K80:K83)</f>
        <v>121066</v>
      </c>
      <c r="L84" s="27"/>
      <c r="M84" s="57">
        <f>SUM(M80:M83)</f>
        <v>8058</v>
      </c>
      <c r="N84" s="27"/>
      <c r="O84" s="6"/>
    </row>
    <row r="85" spans="1:16" ht="15.6" x14ac:dyDescent="0.3">
      <c r="A85" s="26"/>
      <c r="B85" s="27" t="s">
        <v>46</v>
      </c>
      <c r="C85" s="27"/>
      <c r="D85" s="27"/>
      <c r="E85" s="27"/>
      <c r="F85" s="27"/>
      <c r="G85" s="27"/>
      <c r="H85" s="27"/>
      <c r="I85" s="27"/>
      <c r="J85" s="27"/>
      <c r="K85" s="37">
        <f>-M85</f>
        <v>262</v>
      </c>
      <c r="L85" s="27"/>
      <c r="M85" s="56">
        <v>-262</v>
      </c>
      <c r="N85" s="27"/>
      <c r="O85" s="6"/>
    </row>
    <row r="86" spans="1:16" ht="15.6" x14ac:dyDescent="0.3">
      <c r="A86" s="26"/>
      <c r="B86" s="27" t="s">
        <v>47</v>
      </c>
      <c r="C86" s="27"/>
      <c r="D86" s="27"/>
      <c r="E86" s="27"/>
      <c r="F86" s="27"/>
      <c r="G86" s="27"/>
      <c r="H86" s="27"/>
      <c r="I86" s="27"/>
      <c r="J86" s="27"/>
      <c r="K86" s="37">
        <f>K84+K85</f>
        <v>121328</v>
      </c>
      <c r="L86" s="27"/>
      <c r="M86" s="57">
        <f>M84+M85</f>
        <v>7796</v>
      </c>
      <c r="N86" s="27"/>
      <c r="O86" s="6"/>
    </row>
    <row r="87" spans="1:16" ht="15.6" x14ac:dyDescent="0.3">
      <c r="A87" s="26"/>
      <c r="B87" s="126" t="s">
        <v>48</v>
      </c>
      <c r="C87" s="62"/>
      <c r="D87" s="62"/>
      <c r="E87" s="27"/>
      <c r="F87" s="27"/>
      <c r="G87" s="27"/>
      <c r="H87" s="27"/>
      <c r="I87" s="27"/>
      <c r="J87" s="27"/>
      <c r="K87" s="37"/>
      <c r="L87" s="27"/>
      <c r="M87" s="56"/>
      <c r="N87" s="27"/>
      <c r="O87" s="6"/>
    </row>
    <row r="88" spans="1:16" ht="15.6" x14ac:dyDescent="0.3">
      <c r="A88" s="26">
        <v>1</v>
      </c>
      <c r="B88" s="27" t="s">
        <v>49</v>
      </c>
      <c r="C88" s="27"/>
      <c r="D88" s="27"/>
      <c r="E88" s="27"/>
      <c r="F88" s="27"/>
      <c r="G88" s="27"/>
      <c r="H88" s="27"/>
      <c r="I88" s="27"/>
      <c r="J88" s="27"/>
      <c r="K88" s="27"/>
      <c r="L88" s="27"/>
      <c r="M88" s="56">
        <v>-339</v>
      </c>
      <c r="N88" s="27"/>
      <c r="O88" s="6"/>
      <c r="P88" s="117"/>
    </row>
    <row r="89" spans="1:16" ht="15.6" x14ac:dyDescent="0.3">
      <c r="A89" s="26">
        <v>2</v>
      </c>
      <c r="B89" s="27" t="s">
        <v>50</v>
      </c>
      <c r="C89" s="27"/>
      <c r="D89" s="27"/>
      <c r="E89" s="27"/>
      <c r="F89" s="27"/>
      <c r="G89" s="27"/>
      <c r="H89" s="27"/>
      <c r="I89" s="27"/>
      <c r="J89" s="27"/>
      <c r="K89" s="27"/>
      <c r="L89" s="27"/>
      <c r="M89" s="56">
        <v>-2</v>
      </c>
      <c r="N89" s="27"/>
      <c r="O89" s="6"/>
      <c r="P89" s="156"/>
    </row>
    <row r="90" spans="1:16" ht="15.6" x14ac:dyDescent="0.3">
      <c r="A90" s="26">
        <v>3</v>
      </c>
      <c r="B90" s="27" t="s">
        <v>194</v>
      </c>
      <c r="C90" s="27"/>
      <c r="D90" s="27"/>
      <c r="E90" s="27"/>
      <c r="F90" s="27"/>
      <c r="G90" s="27"/>
      <c r="H90" s="27"/>
      <c r="I90" s="27"/>
      <c r="J90" s="27"/>
      <c r="K90" s="27"/>
      <c r="L90" s="27"/>
      <c r="M90" s="56">
        <f>-79-50-6</f>
        <v>-135</v>
      </c>
      <c r="N90" s="27"/>
      <c r="O90" s="6"/>
    </row>
    <row r="91" spans="1:16" ht="15.6" x14ac:dyDescent="0.3">
      <c r="A91" s="140" t="s">
        <v>184</v>
      </c>
      <c r="B91" s="27" t="s">
        <v>146</v>
      </c>
      <c r="C91" s="27"/>
      <c r="D91" s="27"/>
      <c r="E91" s="27"/>
      <c r="F91" s="27"/>
      <c r="G91" s="27"/>
      <c r="H91" s="27"/>
      <c r="I91" s="27"/>
      <c r="J91" s="27"/>
      <c r="K91" s="27"/>
      <c r="L91" s="27"/>
      <c r="M91" s="56">
        <v>0</v>
      </c>
      <c r="N91" s="27"/>
      <c r="O91" s="6"/>
    </row>
    <row r="92" spans="1:16" ht="15.6" x14ac:dyDescent="0.3">
      <c r="A92" s="140" t="s">
        <v>192</v>
      </c>
      <c r="B92" s="27" t="s">
        <v>51</v>
      </c>
      <c r="C92" s="27"/>
      <c r="D92" s="27"/>
      <c r="E92" s="27"/>
      <c r="F92" s="27"/>
      <c r="G92" s="27"/>
      <c r="H92" s="27"/>
      <c r="I92" s="27"/>
      <c r="J92" s="27"/>
      <c r="K92" s="27"/>
      <c r="L92" s="27"/>
      <c r="M92" s="56">
        <v>-2923</v>
      </c>
      <c r="N92" s="27"/>
      <c r="O92" s="6"/>
    </row>
    <row r="93" spans="1:16" ht="15.6" x14ac:dyDescent="0.3">
      <c r="A93" s="26">
        <v>5</v>
      </c>
      <c r="B93" s="27" t="s">
        <v>52</v>
      </c>
      <c r="C93" s="27"/>
      <c r="D93" s="27"/>
      <c r="E93" s="27"/>
      <c r="F93" s="27"/>
      <c r="G93" s="27"/>
      <c r="H93" s="27"/>
      <c r="I93" s="27"/>
      <c r="J93" s="27"/>
      <c r="K93" s="27"/>
      <c r="L93" s="27"/>
      <c r="M93" s="56">
        <v>-589</v>
      </c>
      <c r="N93" s="27"/>
      <c r="O93" s="6"/>
    </row>
    <row r="94" spans="1:16" ht="15.6" x14ac:dyDescent="0.3">
      <c r="A94" s="26">
        <v>6</v>
      </c>
      <c r="B94" s="27" t="s">
        <v>172</v>
      </c>
      <c r="C94" s="27"/>
      <c r="D94" s="27"/>
      <c r="E94" s="27"/>
      <c r="F94" s="27"/>
      <c r="G94" s="27"/>
      <c r="H94" s="27"/>
      <c r="I94" s="27"/>
      <c r="J94" s="27"/>
      <c r="K94" s="27"/>
      <c r="L94" s="27"/>
      <c r="M94" s="56">
        <v>-396</v>
      </c>
      <c r="N94" s="27"/>
      <c r="O94" s="6"/>
    </row>
    <row r="95" spans="1:16" ht="15.6" x14ac:dyDescent="0.3">
      <c r="A95" s="26">
        <v>7</v>
      </c>
      <c r="B95" s="27" t="s">
        <v>53</v>
      </c>
      <c r="C95" s="27"/>
      <c r="D95" s="27"/>
      <c r="E95" s="27"/>
      <c r="F95" s="27"/>
      <c r="G95" s="27"/>
      <c r="H95" s="27"/>
      <c r="I95" s="27"/>
      <c r="J95" s="27"/>
      <c r="K95" s="27"/>
      <c r="L95" s="27"/>
      <c r="M95" s="56">
        <v>-5</v>
      </c>
      <c r="N95" s="27"/>
      <c r="O95" s="6"/>
    </row>
    <row r="96" spans="1:16" ht="15.6" x14ac:dyDescent="0.3">
      <c r="A96" s="26">
        <v>8</v>
      </c>
      <c r="B96" s="27" t="s">
        <v>69</v>
      </c>
      <c r="C96" s="27"/>
      <c r="D96" s="27"/>
      <c r="E96" s="27"/>
      <c r="F96" s="27"/>
      <c r="G96" s="27"/>
      <c r="H96" s="27"/>
      <c r="I96" s="27"/>
      <c r="J96" s="27"/>
      <c r="K96" s="37">
        <f>-M96</f>
        <v>323</v>
      </c>
      <c r="L96" s="27"/>
      <c r="M96" s="56">
        <v>-323</v>
      </c>
      <c r="N96" s="27"/>
      <c r="O96" s="6"/>
    </row>
    <row r="97" spans="1:15" ht="15.6" x14ac:dyDescent="0.3">
      <c r="A97" s="26">
        <v>9</v>
      </c>
      <c r="B97" s="27" t="s">
        <v>193</v>
      </c>
      <c r="C97" s="27"/>
      <c r="D97" s="27"/>
      <c r="E97" s="27"/>
      <c r="F97" s="27"/>
      <c r="G97" s="27"/>
      <c r="H97" s="27"/>
      <c r="I97" s="27"/>
      <c r="J97" s="27"/>
      <c r="K97" s="27"/>
      <c r="L97" s="27"/>
      <c r="M97" s="56">
        <v>0</v>
      </c>
      <c r="N97" s="27"/>
      <c r="O97" s="6"/>
    </row>
    <row r="98" spans="1:15" ht="15.6" x14ac:dyDescent="0.3">
      <c r="A98" s="26">
        <v>10</v>
      </c>
      <c r="B98" s="27" t="s">
        <v>54</v>
      </c>
      <c r="C98" s="27"/>
      <c r="D98" s="27"/>
      <c r="E98" s="27"/>
      <c r="F98" s="27"/>
      <c r="G98" s="27"/>
      <c r="H98" s="27"/>
      <c r="I98" s="27"/>
      <c r="J98" s="27"/>
      <c r="K98" s="27"/>
      <c r="L98" s="27"/>
      <c r="M98" s="56">
        <v>0</v>
      </c>
      <c r="N98" s="27"/>
      <c r="O98" s="6"/>
    </row>
    <row r="99" spans="1:15" ht="15.6" x14ac:dyDescent="0.3">
      <c r="A99" s="26">
        <v>11</v>
      </c>
      <c r="B99" s="27" t="s">
        <v>55</v>
      </c>
      <c r="C99" s="27"/>
      <c r="D99" s="27"/>
      <c r="E99" s="27"/>
      <c r="F99" s="27"/>
      <c r="G99" s="27"/>
      <c r="H99" s="27"/>
      <c r="I99" s="27"/>
      <c r="J99" s="27"/>
      <c r="K99" s="27"/>
      <c r="L99" s="27"/>
      <c r="M99" s="56">
        <v>0</v>
      </c>
      <c r="N99" s="27"/>
      <c r="O99" s="6"/>
    </row>
    <row r="100" spans="1:15" ht="15.6" x14ac:dyDescent="0.3">
      <c r="A100" s="26">
        <v>12</v>
      </c>
      <c r="B100" s="27" t="s">
        <v>173</v>
      </c>
      <c r="C100" s="27"/>
      <c r="D100" s="27"/>
      <c r="E100" s="27"/>
      <c r="F100" s="27"/>
      <c r="G100" s="27"/>
      <c r="H100" s="27"/>
      <c r="I100" s="27"/>
      <c r="J100" s="27"/>
      <c r="K100" s="27"/>
      <c r="L100" s="27"/>
      <c r="M100" s="56">
        <v>-79</v>
      </c>
      <c r="N100" s="27"/>
      <c r="O100" s="6"/>
    </row>
    <row r="101" spans="1:15" ht="15.6" x14ac:dyDescent="0.3">
      <c r="A101" s="26">
        <v>13</v>
      </c>
      <c r="B101" s="27" t="s">
        <v>195</v>
      </c>
      <c r="C101" s="27"/>
      <c r="D101" s="27"/>
      <c r="E101" s="27"/>
      <c r="F101" s="27"/>
      <c r="G101" s="27"/>
      <c r="H101" s="27"/>
      <c r="I101" s="27"/>
      <c r="J101" s="27"/>
      <c r="K101" s="27"/>
      <c r="L101" s="27"/>
      <c r="M101" s="56">
        <f>-M86-SUM(M88:M100)</f>
        <v>-3005</v>
      </c>
      <c r="N101" s="27"/>
      <c r="O101" s="6"/>
    </row>
    <row r="102" spans="1:15" ht="15.6" x14ac:dyDescent="0.3">
      <c r="A102" s="26"/>
      <c r="B102" s="126" t="s">
        <v>56</v>
      </c>
      <c r="C102" s="62"/>
      <c r="D102" s="62"/>
      <c r="E102" s="27"/>
      <c r="F102" s="27"/>
      <c r="G102" s="27"/>
      <c r="H102" s="27"/>
      <c r="I102" s="27"/>
      <c r="J102" s="27"/>
      <c r="K102" s="27"/>
      <c r="L102" s="27"/>
      <c r="M102" s="63"/>
      <c r="N102" s="27"/>
      <c r="O102" s="6"/>
    </row>
    <row r="103" spans="1:15" ht="15.6" x14ac:dyDescent="0.3">
      <c r="A103" s="26"/>
      <c r="B103" s="27" t="s">
        <v>57</v>
      </c>
      <c r="C103" s="62"/>
      <c r="D103" s="62"/>
      <c r="E103" s="27"/>
      <c r="F103" s="27"/>
      <c r="G103" s="27"/>
      <c r="H103" s="27"/>
      <c r="I103" s="27"/>
      <c r="J103" s="27"/>
      <c r="K103" s="37">
        <f>-K152</f>
        <v>0</v>
      </c>
      <c r="L103" s="37"/>
      <c r="M103" s="56"/>
      <c r="N103" s="27"/>
      <c r="O103" s="6"/>
    </row>
    <row r="104" spans="1:15" ht="15.6" x14ac:dyDescent="0.3">
      <c r="A104" s="26"/>
      <c r="B104" s="27" t="s">
        <v>58</v>
      </c>
      <c r="C104" s="27"/>
      <c r="D104" s="27"/>
      <c r="E104" s="27"/>
      <c r="F104" s="27"/>
      <c r="G104" s="27"/>
      <c r="H104" s="27"/>
      <c r="I104" s="27"/>
      <c r="J104" s="27"/>
      <c r="K104" s="37">
        <f>-I152</f>
        <v>-142</v>
      </c>
      <c r="L104" s="37"/>
      <c r="M104" s="56"/>
      <c r="N104" s="27"/>
      <c r="O104" s="6"/>
    </row>
    <row r="105" spans="1:15" ht="15.6" x14ac:dyDescent="0.3">
      <c r="A105" s="26"/>
      <c r="B105" s="27" t="s">
        <v>187</v>
      </c>
      <c r="C105" s="27"/>
      <c r="D105" s="27"/>
      <c r="E105" s="27"/>
      <c r="F105" s="27"/>
      <c r="G105" s="27"/>
      <c r="H105" s="27"/>
      <c r="I105" s="27"/>
      <c r="J105" s="27"/>
      <c r="K105" s="37">
        <v>-91166</v>
      </c>
      <c r="L105" s="37"/>
      <c r="M105" s="56"/>
      <c r="N105" s="27"/>
      <c r="O105" s="6"/>
    </row>
    <row r="106" spans="1:15" ht="15.6" x14ac:dyDescent="0.3">
      <c r="A106" s="26"/>
      <c r="B106" s="27" t="s">
        <v>185</v>
      </c>
      <c r="C106" s="27"/>
      <c r="D106" s="27"/>
      <c r="E106" s="27"/>
      <c r="F106" s="27"/>
      <c r="G106" s="27"/>
      <c r="H106" s="27"/>
      <c r="I106" s="27"/>
      <c r="J106" s="27"/>
      <c r="K106" s="37">
        <v>0</v>
      </c>
      <c r="L106" s="37"/>
      <c r="M106" s="56"/>
      <c r="N106" s="27"/>
      <c r="O106" s="6"/>
    </row>
    <row r="107" spans="1:15" ht="15.6" x14ac:dyDescent="0.3">
      <c r="A107" s="26"/>
      <c r="B107" s="27" t="s">
        <v>59</v>
      </c>
      <c r="C107" s="27"/>
      <c r="D107" s="27"/>
      <c r="E107" s="27"/>
      <c r="F107" s="27"/>
      <c r="G107" s="27"/>
      <c r="H107" s="27"/>
      <c r="I107" s="27"/>
      <c r="J107" s="27"/>
      <c r="K107" s="37">
        <v>0</v>
      </c>
      <c r="L107" s="37"/>
      <c r="M107" s="56"/>
      <c r="N107" s="27"/>
      <c r="O107" s="6"/>
    </row>
    <row r="108" spans="1:15" ht="15.6" x14ac:dyDescent="0.3">
      <c r="A108" s="26"/>
      <c r="B108" s="27" t="s">
        <v>186</v>
      </c>
      <c r="C108" s="27"/>
      <c r="D108" s="27"/>
      <c r="E108" s="27"/>
      <c r="F108" s="27"/>
      <c r="G108" s="27"/>
      <c r="H108" s="27"/>
      <c r="I108" s="27"/>
      <c r="J108" s="27"/>
      <c r="K108" s="37">
        <v>0</v>
      </c>
      <c r="L108" s="37"/>
      <c r="M108" s="56"/>
      <c r="N108" s="27"/>
      <c r="O108" s="6"/>
    </row>
    <row r="109" spans="1:15" ht="15.6" x14ac:dyDescent="0.3">
      <c r="A109" s="26"/>
      <c r="B109" s="27" t="s">
        <v>60</v>
      </c>
      <c r="C109" s="27"/>
      <c r="D109" s="27"/>
      <c r="E109" s="27"/>
      <c r="F109" s="27"/>
      <c r="G109" s="27"/>
      <c r="H109" s="27"/>
      <c r="I109" s="27"/>
      <c r="J109" s="27"/>
      <c r="K109" s="37">
        <f>+K104+K105</f>
        <v>-91308</v>
      </c>
      <c r="L109" s="37"/>
      <c r="M109" s="37">
        <f>SUM(M87:M108)</f>
        <v>-7796</v>
      </c>
      <c r="N109" s="27"/>
      <c r="O109" s="6"/>
    </row>
    <row r="110" spans="1:15" ht="15.6" x14ac:dyDescent="0.3">
      <c r="A110" s="26"/>
      <c r="B110" s="27" t="s">
        <v>61</v>
      </c>
      <c r="C110" s="27"/>
      <c r="D110" s="27"/>
      <c r="E110" s="27"/>
      <c r="F110" s="27"/>
      <c r="G110" s="27"/>
      <c r="H110" s="27"/>
      <c r="I110" s="27"/>
      <c r="J110" s="27"/>
      <c r="K110" s="37">
        <f>K86+K109+K96</f>
        <v>30343</v>
      </c>
      <c r="L110" s="37"/>
      <c r="M110" s="37">
        <f>M86+M109</f>
        <v>0</v>
      </c>
      <c r="N110" s="27"/>
      <c r="O110" s="6"/>
    </row>
    <row r="111" spans="1:15" ht="15.6" x14ac:dyDescent="0.3">
      <c r="A111" s="26"/>
      <c r="B111" s="27"/>
      <c r="C111" s="27"/>
      <c r="D111" s="27"/>
      <c r="E111" s="27"/>
      <c r="F111" s="27"/>
      <c r="G111" s="27"/>
      <c r="H111" s="27"/>
      <c r="I111" s="27"/>
      <c r="J111" s="27"/>
      <c r="K111" s="37"/>
      <c r="L111" s="37"/>
      <c r="M111" s="37"/>
      <c r="N111" s="27"/>
      <c r="O111" s="6"/>
    </row>
    <row r="112" spans="1:15" ht="15.6" x14ac:dyDescent="0.3">
      <c r="A112" s="7"/>
      <c r="B112" s="9"/>
      <c r="C112" s="9"/>
      <c r="D112" s="9"/>
      <c r="E112" s="9"/>
      <c r="F112" s="9"/>
      <c r="G112" s="9"/>
      <c r="H112" s="9"/>
      <c r="I112" s="9"/>
      <c r="J112" s="9"/>
      <c r="K112" s="9"/>
      <c r="L112" s="9"/>
      <c r="M112" s="55"/>
      <c r="N112" s="9"/>
      <c r="O112" s="6"/>
    </row>
    <row r="113" spans="1:15" ht="18" thickBot="1" x14ac:dyDescent="0.35">
      <c r="A113" s="109"/>
      <c r="B113" s="110" t="str">
        <f>B54</f>
        <v>PSF1 INVESTOR REPORT QUARTER ENDING JULY 2005</v>
      </c>
      <c r="C113" s="111"/>
      <c r="D113" s="111"/>
      <c r="E113" s="111"/>
      <c r="F113" s="111"/>
      <c r="G113" s="111"/>
      <c r="H113" s="111"/>
      <c r="I113" s="111"/>
      <c r="J113" s="111"/>
      <c r="K113" s="111"/>
      <c r="L113" s="111"/>
      <c r="M113" s="114"/>
      <c r="N113" s="113"/>
      <c r="O113" s="6"/>
    </row>
    <row r="114" spans="1:15" ht="15.6" x14ac:dyDescent="0.3">
      <c r="A114" s="2"/>
      <c r="B114" s="64" t="s">
        <v>62</v>
      </c>
      <c r="C114" s="65"/>
      <c r="D114" s="65"/>
      <c r="E114" s="5"/>
      <c r="F114" s="5"/>
      <c r="G114" s="5"/>
      <c r="H114" s="5"/>
      <c r="I114" s="5"/>
      <c r="J114" s="5"/>
      <c r="K114" s="5"/>
      <c r="L114" s="5"/>
      <c r="M114" s="53"/>
      <c r="N114" s="5"/>
      <c r="O114" s="6"/>
    </row>
    <row r="115" spans="1:15" ht="15.6" x14ac:dyDescent="0.3">
      <c r="A115" s="7"/>
      <c r="B115" s="23"/>
      <c r="C115" s="15"/>
      <c r="D115" s="15"/>
      <c r="E115" s="9"/>
      <c r="F115" s="9"/>
      <c r="G115" s="9"/>
      <c r="H115" s="9"/>
      <c r="I115" s="9"/>
      <c r="J115" s="9"/>
      <c r="K115" s="9"/>
      <c r="L115" s="9"/>
      <c r="M115" s="55"/>
      <c r="N115" s="9"/>
      <c r="O115" s="6"/>
    </row>
    <row r="116" spans="1:15" ht="15.6" x14ac:dyDescent="0.3">
      <c r="A116" s="7"/>
      <c r="B116" s="127" t="s">
        <v>63</v>
      </c>
      <c r="C116" s="15"/>
      <c r="D116" s="15"/>
      <c r="E116" s="9"/>
      <c r="F116" s="9"/>
      <c r="G116" s="9"/>
      <c r="H116" s="9"/>
      <c r="I116" s="9"/>
      <c r="J116" s="9"/>
      <c r="K116" s="9"/>
      <c r="L116" s="9"/>
      <c r="M116" s="55"/>
      <c r="N116" s="9"/>
      <c r="O116" s="6"/>
    </row>
    <row r="117" spans="1:15" ht="15.6" x14ac:dyDescent="0.3">
      <c r="A117" s="26"/>
      <c r="B117" s="27" t="s">
        <v>64</v>
      </c>
      <c r="C117" s="27"/>
      <c r="D117" s="27"/>
      <c r="E117" s="27"/>
      <c r="F117" s="27"/>
      <c r="G117" s="27"/>
      <c r="H117" s="27"/>
      <c r="I117" s="27"/>
      <c r="J117" s="27"/>
      <c r="K117" s="27"/>
      <c r="L117" s="27"/>
      <c r="M117" s="56">
        <f>+M30*0.045</f>
        <v>13500</v>
      </c>
      <c r="N117" s="27"/>
      <c r="O117" s="6"/>
    </row>
    <row r="118" spans="1:15" ht="15.6" x14ac:dyDescent="0.3">
      <c r="A118" s="26"/>
      <c r="B118" s="27" t="s">
        <v>65</v>
      </c>
      <c r="C118" s="27"/>
      <c r="D118" s="27"/>
      <c r="E118" s="27"/>
      <c r="F118" s="27"/>
      <c r="G118" s="27"/>
      <c r="H118" s="27"/>
      <c r="I118" s="27"/>
      <c r="J118" s="27"/>
      <c r="K118" s="27"/>
      <c r="L118" s="27"/>
      <c r="M118" s="56">
        <v>13500</v>
      </c>
      <c r="N118" s="27"/>
      <c r="O118" s="6"/>
    </row>
    <row r="119" spans="1:15" ht="15.6" x14ac:dyDescent="0.3">
      <c r="A119" s="26"/>
      <c r="B119" s="27" t="s">
        <v>66</v>
      </c>
      <c r="C119" s="27"/>
      <c r="D119" s="27"/>
      <c r="E119" s="27"/>
      <c r="F119" s="27"/>
      <c r="G119" s="27"/>
      <c r="H119" s="27"/>
      <c r="I119" s="27"/>
      <c r="J119" s="27"/>
      <c r="K119" s="27"/>
      <c r="L119" s="27"/>
      <c r="M119" s="56">
        <v>0</v>
      </c>
      <c r="N119" s="27"/>
      <c r="O119" s="6"/>
    </row>
    <row r="120" spans="1:15" ht="15.6" x14ac:dyDescent="0.3">
      <c r="A120" s="26"/>
      <c r="B120" s="27" t="s">
        <v>67</v>
      </c>
      <c r="C120" s="27"/>
      <c r="D120" s="27"/>
      <c r="E120" s="27"/>
      <c r="F120" s="27"/>
      <c r="G120" s="27"/>
      <c r="H120" s="27"/>
      <c r="I120" s="27"/>
      <c r="J120" s="27"/>
      <c r="K120" s="27"/>
      <c r="L120" s="27"/>
      <c r="M120" s="56">
        <v>0</v>
      </c>
      <c r="N120" s="27"/>
      <c r="O120" s="6"/>
    </row>
    <row r="121" spans="1:15" ht="15.6" x14ac:dyDescent="0.3">
      <c r="A121" s="26"/>
      <c r="B121" s="27" t="s">
        <v>68</v>
      </c>
      <c r="C121" s="27"/>
      <c r="D121" s="27"/>
      <c r="E121" s="27"/>
      <c r="F121" s="27"/>
      <c r="G121" s="27"/>
      <c r="H121" s="27"/>
      <c r="I121" s="27"/>
      <c r="J121" s="27"/>
      <c r="K121" s="27"/>
      <c r="L121" s="27"/>
      <c r="M121" s="56">
        <v>0</v>
      </c>
      <c r="N121" s="27"/>
      <c r="O121" s="6"/>
    </row>
    <row r="122" spans="1:15" ht="15.6" x14ac:dyDescent="0.3">
      <c r="A122" s="26"/>
      <c r="B122" s="27" t="s">
        <v>51</v>
      </c>
      <c r="C122" s="27"/>
      <c r="D122" s="27"/>
      <c r="E122" s="27"/>
      <c r="F122" s="27"/>
      <c r="G122" s="27"/>
      <c r="H122" s="27"/>
      <c r="I122" s="27"/>
      <c r="J122" s="27"/>
      <c r="K122" s="27"/>
      <c r="L122" s="27"/>
      <c r="M122" s="56">
        <v>0</v>
      </c>
      <c r="N122" s="27"/>
      <c r="O122" s="6"/>
    </row>
    <row r="123" spans="1:15" ht="15.6" x14ac:dyDescent="0.3">
      <c r="A123" s="26"/>
      <c r="B123" s="27" t="s">
        <v>52</v>
      </c>
      <c r="C123" s="27"/>
      <c r="D123" s="27"/>
      <c r="E123" s="27"/>
      <c r="F123" s="27"/>
      <c r="G123" s="27"/>
      <c r="H123" s="27"/>
      <c r="I123" s="27"/>
      <c r="J123" s="27"/>
      <c r="K123" s="27"/>
      <c r="L123" s="27"/>
      <c r="M123" s="56">
        <v>0</v>
      </c>
      <c r="N123" s="27"/>
      <c r="O123" s="6"/>
    </row>
    <row r="124" spans="1:15" ht="15.6" x14ac:dyDescent="0.3">
      <c r="A124" s="26"/>
      <c r="B124" s="27" t="s">
        <v>172</v>
      </c>
      <c r="C124" s="27"/>
      <c r="D124" s="27"/>
      <c r="E124" s="27"/>
      <c r="F124" s="27"/>
      <c r="G124" s="27"/>
      <c r="H124" s="27"/>
      <c r="I124" s="27"/>
      <c r="J124" s="27"/>
      <c r="K124" s="27"/>
      <c r="L124" s="27"/>
      <c r="M124" s="56">
        <v>0</v>
      </c>
      <c r="N124" s="27"/>
      <c r="O124" s="6"/>
    </row>
    <row r="125" spans="1:15" ht="15.6" x14ac:dyDescent="0.3">
      <c r="A125" s="26"/>
      <c r="B125" s="27" t="s">
        <v>69</v>
      </c>
      <c r="C125" s="27"/>
      <c r="D125" s="27"/>
      <c r="E125" s="27"/>
      <c r="F125" s="27"/>
      <c r="G125" s="27"/>
      <c r="H125" s="27"/>
      <c r="I125" s="27"/>
      <c r="J125" s="27"/>
      <c r="K125" s="27"/>
      <c r="L125" s="27"/>
      <c r="M125" s="56">
        <v>0</v>
      </c>
      <c r="N125" s="27"/>
      <c r="O125" s="6"/>
    </row>
    <row r="126" spans="1:15" ht="15.6" x14ac:dyDescent="0.3">
      <c r="A126" s="26"/>
      <c r="B126" s="27" t="s">
        <v>70</v>
      </c>
      <c r="C126" s="27"/>
      <c r="D126" s="27"/>
      <c r="E126" s="27"/>
      <c r="F126" s="27"/>
      <c r="G126" s="27"/>
      <c r="H126" s="27"/>
      <c r="I126" s="27"/>
      <c r="J126" s="27"/>
      <c r="K126" s="27"/>
      <c r="L126" s="27"/>
      <c r="M126" s="56">
        <f>SUM(M118:M125)</f>
        <v>13500</v>
      </c>
      <c r="N126" s="27"/>
      <c r="O126" s="6"/>
    </row>
    <row r="127" spans="1:15" ht="15.6" x14ac:dyDescent="0.3">
      <c r="A127" s="26"/>
      <c r="B127" s="27"/>
      <c r="C127" s="27"/>
      <c r="D127" s="27"/>
      <c r="E127" s="27"/>
      <c r="F127" s="27"/>
      <c r="G127" s="27"/>
      <c r="H127" s="27"/>
      <c r="I127" s="27"/>
      <c r="J127" s="27"/>
      <c r="K127" s="27"/>
      <c r="L127" s="27"/>
      <c r="M127" s="66"/>
      <c r="N127" s="27"/>
      <c r="O127" s="6"/>
    </row>
    <row r="128" spans="1:15" ht="15.6" x14ac:dyDescent="0.3">
      <c r="A128" s="7"/>
      <c r="B128" s="127" t="s">
        <v>37</v>
      </c>
      <c r="C128" s="9"/>
      <c r="D128" s="9"/>
      <c r="E128" s="9"/>
      <c r="F128" s="9"/>
      <c r="G128" s="9"/>
      <c r="H128" s="9"/>
      <c r="I128" s="9"/>
      <c r="J128" s="9"/>
      <c r="K128" s="9"/>
      <c r="L128" s="9"/>
      <c r="M128" s="55"/>
      <c r="N128" s="9"/>
      <c r="O128" s="6"/>
    </row>
    <row r="129" spans="1:15" ht="15.6" x14ac:dyDescent="0.3">
      <c r="A129" s="26"/>
      <c r="B129" s="27" t="s">
        <v>71</v>
      </c>
      <c r="C129" s="27"/>
      <c r="D129" s="27"/>
      <c r="E129" s="67"/>
      <c r="F129" s="27"/>
      <c r="G129" s="27"/>
      <c r="H129" s="27"/>
      <c r="I129" s="27"/>
      <c r="J129" s="27"/>
      <c r="K129" s="27"/>
      <c r="L129" s="27"/>
      <c r="M129" s="68" t="s">
        <v>136</v>
      </c>
      <c r="N129" s="27"/>
      <c r="O129" s="6"/>
    </row>
    <row r="130" spans="1:15" ht="15.6" x14ac:dyDescent="0.3">
      <c r="A130" s="26"/>
      <c r="B130" s="27" t="s">
        <v>72</v>
      </c>
      <c r="C130" s="142"/>
      <c r="D130" s="142"/>
      <c r="E130" s="142"/>
      <c r="F130" s="142"/>
      <c r="G130" s="142"/>
      <c r="H130" s="142"/>
      <c r="I130" s="142"/>
      <c r="J130" s="142"/>
      <c r="K130" s="142"/>
      <c r="L130" s="142"/>
      <c r="M130" s="68" t="s">
        <v>136</v>
      </c>
      <c r="N130" s="27"/>
      <c r="O130" s="6"/>
    </row>
    <row r="131" spans="1:15" ht="15.6" x14ac:dyDescent="0.3">
      <c r="A131" s="26"/>
      <c r="B131" s="27" t="s">
        <v>73</v>
      </c>
      <c r="C131" s="27"/>
      <c r="D131" s="27"/>
      <c r="E131" s="27"/>
      <c r="F131" s="27"/>
      <c r="G131" s="27"/>
      <c r="H131" s="27"/>
      <c r="I131" s="27"/>
      <c r="J131" s="27"/>
      <c r="K131" s="27"/>
      <c r="L131" s="27"/>
      <c r="M131" s="68" t="s">
        <v>136</v>
      </c>
      <c r="N131" s="27"/>
      <c r="O131" s="6"/>
    </row>
    <row r="132" spans="1:15" ht="15.6" x14ac:dyDescent="0.3">
      <c r="A132" s="26"/>
      <c r="B132" s="27" t="s">
        <v>74</v>
      </c>
      <c r="C132" s="27"/>
      <c r="D132" s="27"/>
      <c r="E132" s="27"/>
      <c r="F132" s="27"/>
      <c r="G132" s="27"/>
      <c r="H132" s="27"/>
      <c r="I132" s="27"/>
      <c r="J132" s="27"/>
      <c r="K132" s="27"/>
      <c r="L132" s="27"/>
      <c r="M132" s="68" t="s">
        <v>136</v>
      </c>
      <c r="N132" s="27"/>
      <c r="O132" s="6"/>
    </row>
    <row r="133" spans="1:15" ht="15.6" x14ac:dyDescent="0.3">
      <c r="A133" s="26"/>
      <c r="B133" s="27"/>
      <c r="C133" s="27"/>
      <c r="D133" s="27"/>
      <c r="E133" s="27"/>
      <c r="F133" s="27"/>
      <c r="G133" s="27"/>
      <c r="H133" s="27"/>
      <c r="I133" s="27"/>
      <c r="J133" s="27"/>
      <c r="K133" s="27"/>
      <c r="L133" s="27"/>
      <c r="M133" s="66"/>
      <c r="N133" s="27"/>
      <c r="O133" s="6"/>
    </row>
    <row r="134" spans="1:15" ht="15.6" x14ac:dyDescent="0.3">
      <c r="A134" s="7"/>
      <c r="B134" s="127" t="s">
        <v>75</v>
      </c>
      <c r="C134" s="15"/>
      <c r="D134" s="15"/>
      <c r="E134" s="9"/>
      <c r="F134" s="9"/>
      <c r="G134" s="9"/>
      <c r="H134" s="9"/>
      <c r="I134" s="9"/>
      <c r="J134" s="9"/>
      <c r="K134" s="9"/>
      <c r="L134" s="9"/>
      <c r="M134" s="69"/>
      <c r="N134" s="9"/>
      <c r="O134" s="6"/>
    </row>
    <row r="135" spans="1:15" ht="15.6" x14ac:dyDescent="0.3">
      <c r="A135" s="26"/>
      <c r="B135" s="27" t="s">
        <v>76</v>
      </c>
      <c r="C135" s="27"/>
      <c r="D135" s="27"/>
      <c r="E135" s="27"/>
      <c r="F135" s="27"/>
      <c r="G135" s="27"/>
      <c r="H135" s="27"/>
      <c r="I135" s="27"/>
      <c r="J135" s="27"/>
      <c r="K135" s="27"/>
      <c r="L135" s="27"/>
      <c r="M135" s="56">
        <v>0</v>
      </c>
      <c r="N135" s="27"/>
      <c r="O135" s="6"/>
    </row>
    <row r="136" spans="1:15" ht="15.6" x14ac:dyDescent="0.3">
      <c r="A136" s="26"/>
      <c r="B136" s="27" t="s">
        <v>190</v>
      </c>
      <c r="C136" s="27"/>
      <c r="D136" s="27"/>
      <c r="E136" s="27"/>
      <c r="F136" s="27"/>
      <c r="G136" s="27"/>
      <c r="H136" s="27"/>
      <c r="I136" s="27"/>
      <c r="J136" s="27"/>
      <c r="K136" s="27"/>
      <c r="L136" s="27"/>
      <c r="M136" s="56">
        <v>36</v>
      </c>
      <c r="N136" s="27"/>
      <c r="O136" s="6"/>
    </row>
    <row r="137" spans="1:15" ht="15.6" x14ac:dyDescent="0.3">
      <c r="A137" s="26"/>
      <c r="B137" s="27" t="s">
        <v>180</v>
      </c>
      <c r="C137" s="27"/>
      <c r="D137" s="27"/>
      <c r="E137" s="27"/>
      <c r="F137" s="27"/>
      <c r="G137" s="27"/>
      <c r="H137" s="27"/>
      <c r="I137" s="27"/>
      <c r="J137" s="27"/>
      <c r="K137" s="27"/>
      <c r="L137" s="27"/>
      <c r="M137" s="56">
        <v>287</v>
      </c>
      <c r="N137" s="27"/>
      <c r="O137" s="6"/>
    </row>
    <row r="138" spans="1:15" ht="15.6" x14ac:dyDescent="0.3">
      <c r="A138" s="26"/>
      <c r="B138" s="27" t="s">
        <v>77</v>
      </c>
      <c r="C138" s="27"/>
      <c r="D138" s="27"/>
      <c r="E138" s="27"/>
      <c r="F138" s="27"/>
      <c r="G138" s="27"/>
      <c r="H138" s="27"/>
      <c r="I138" s="27"/>
      <c r="J138" s="27"/>
      <c r="K138" s="27"/>
      <c r="L138" s="27"/>
      <c r="M138" s="56">
        <f>M136+M135+M137</f>
        <v>323</v>
      </c>
      <c r="N138" s="27"/>
      <c r="O138" s="6"/>
    </row>
    <row r="139" spans="1:15" ht="15.6" x14ac:dyDescent="0.3">
      <c r="A139" s="26"/>
      <c r="B139" s="27" t="s">
        <v>183</v>
      </c>
      <c r="C139" s="27"/>
      <c r="D139" s="27"/>
      <c r="E139" s="27"/>
      <c r="F139" s="27"/>
      <c r="G139" s="27"/>
      <c r="H139" s="27"/>
      <c r="I139" s="70"/>
      <c r="J139" s="27"/>
      <c r="K139" s="27"/>
      <c r="L139" s="27"/>
      <c r="M139" s="56">
        <f>M96</f>
        <v>-323</v>
      </c>
      <c r="N139" s="27"/>
      <c r="O139" s="6"/>
    </row>
    <row r="140" spans="1:15" ht="15.6" x14ac:dyDescent="0.3">
      <c r="A140" s="26"/>
      <c r="B140" s="27" t="s">
        <v>78</v>
      </c>
      <c r="C140" s="27"/>
      <c r="D140" s="27"/>
      <c r="E140" s="27"/>
      <c r="F140" s="27"/>
      <c r="G140" s="27"/>
      <c r="H140" s="27"/>
      <c r="I140" s="27"/>
      <c r="J140" s="27"/>
      <c r="K140" s="27"/>
      <c r="L140" s="27"/>
      <c r="M140" s="56">
        <f>M138+M139</f>
        <v>0</v>
      </c>
      <c r="N140" s="27"/>
      <c r="O140" s="6"/>
    </row>
    <row r="141" spans="1:15" ht="16.2" thickBot="1" x14ac:dyDescent="0.35">
      <c r="A141" s="26"/>
      <c r="B141" s="27"/>
      <c r="C141" s="27"/>
      <c r="D141" s="27"/>
      <c r="E141" s="27"/>
      <c r="F141" s="27"/>
      <c r="G141" s="27"/>
      <c r="H141" s="27"/>
      <c r="I141" s="27"/>
      <c r="J141" s="27"/>
      <c r="K141" s="27"/>
      <c r="L141" s="27"/>
      <c r="M141" s="66"/>
      <c r="N141" s="27"/>
      <c r="O141" s="6"/>
    </row>
    <row r="142" spans="1:15" ht="15.6" x14ac:dyDescent="0.3">
      <c r="A142" s="2"/>
      <c r="B142" s="5"/>
      <c r="C142" s="5"/>
      <c r="D142" s="5"/>
      <c r="E142" s="5"/>
      <c r="F142" s="5"/>
      <c r="G142" s="5"/>
      <c r="H142" s="5"/>
      <c r="I142" s="5"/>
      <c r="J142" s="5"/>
      <c r="K142" s="5"/>
      <c r="L142" s="5"/>
      <c r="M142" s="53"/>
      <c r="N142" s="5"/>
      <c r="O142" s="6"/>
    </row>
    <row r="143" spans="1:15" ht="15.6" x14ac:dyDescent="0.3">
      <c r="A143" s="7"/>
      <c r="B143" s="127" t="s">
        <v>79</v>
      </c>
      <c r="C143" s="15"/>
      <c r="D143" s="15"/>
      <c r="E143" s="9"/>
      <c r="F143" s="9"/>
      <c r="G143" s="9"/>
      <c r="H143" s="9"/>
      <c r="I143" s="9"/>
      <c r="J143" s="9"/>
      <c r="K143" s="9"/>
      <c r="L143" s="9"/>
      <c r="M143" s="55"/>
      <c r="N143" s="9"/>
      <c r="O143" s="6"/>
    </row>
    <row r="144" spans="1:15" ht="15.6" x14ac:dyDescent="0.3">
      <c r="A144" s="7"/>
      <c r="B144" s="23"/>
      <c r="C144" s="15"/>
      <c r="D144" s="15"/>
      <c r="E144" s="9"/>
      <c r="F144" s="9"/>
      <c r="G144" s="9"/>
      <c r="H144" s="9"/>
      <c r="I144" s="9"/>
      <c r="J144" s="9"/>
      <c r="K144" s="9"/>
      <c r="L144" s="9"/>
      <c r="M144" s="55"/>
      <c r="N144" s="9"/>
      <c r="O144" s="6"/>
    </row>
    <row r="145" spans="1:16" ht="15.6" x14ac:dyDescent="0.3">
      <c r="A145" s="26"/>
      <c r="B145" s="27" t="s">
        <v>188</v>
      </c>
      <c r="C145" s="71"/>
      <c r="D145" s="71"/>
      <c r="E145" s="27"/>
      <c r="F145" s="27"/>
      <c r="G145" s="27"/>
      <c r="H145" s="27"/>
      <c r="I145" s="27"/>
      <c r="J145" s="27"/>
      <c r="K145" s="27"/>
      <c r="L145" s="27"/>
      <c r="M145" s="56">
        <f>+M63+M73+M74</f>
        <v>300000</v>
      </c>
      <c r="N145" s="27"/>
      <c r="O145" s="6"/>
      <c r="P145" s="117"/>
    </row>
    <row r="146" spans="1:16" ht="15.6" x14ac:dyDescent="0.3">
      <c r="A146" s="26"/>
      <c r="B146" s="27" t="s">
        <v>80</v>
      </c>
      <c r="C146" s="71"/>
      <c r="D146" s="71"/>
      <c r="E146" s="27"/>
      <c r="F146" s="27"/>
      <c r="G146" s="27"/>
      <c r="H146" s="27"/>
      <c r="I146" s="27"/>
      <c r="J146" s="27"/>
      <c r="K146" s="27"/>
      <c r="L146" s="27"/>
      <c r="M146" s="56">
        <f>M76</f>
        <v>300000</v>
      </c>
      <c r="N146" s="27"/>
      <c r="O146" s="6"/>
    </row>
    <row r="147" spans="1:16" ht="16.2" thickBot="1" x14ac:dyDescent="0.35">
      <c r="A147" s="26"/>
      <c r="B147" s="27"/>
      <c r="C147" s="27"/>
      <c r="D147" s="27"/>
      <c r="E147" s="27"/>
      <c r="F147" s="27"/>
      <c r="G147" s="27"/>
      <c r="H147" s="27"/>
      <c r="I147" s="27"/>
      <c r="J147" s="27"/>
      <c r="K147" s="27"/>
      <c r="L147" s="27"/>
      <c r="M147" s="66"/>
      <c r="N147" s="27"/>
      <c r="O147" s="6"/>
    </row>
    <row r="148" spans="1:16" ht="15.6" x14ac:dyDescent="0.3">
      <c r="A148" s="2"/>
      <c r="B148" s="5"/>
      <c r="C148" s="5"/>
      <c r="D148" s="5"/>
      <c r="E148" s="5"/>
      <c r="F148" s="5"/>
      <c r="G148" s="5"/>
      <c r="H148" s="5"/>
      <c r="I148" s="5"/>
      <c r="J148" s="5"/>
      <c r="K148" s="5"/>
      <c r="L148" s="5"/>
      <c r="M148" s="53"/>
      <c r="N148" s="5"/>
      <c r="O148" s="6"/>
    </row>
    <row r="149" spans="1:16" ht="15.6" x14ac:dyDescent="0.3">
      <c r="A149" s="7"/>
      <c r="B149" s="127" t="s">
        <v>81</v>
      </c>
      <c r="C149" s="119"/>
      <c r="D149" s="119"/>
      <c r="E149" s="125"/>
      <c r="F149" s="125"/>
      <c r="G149" s="125"/>
      <c r="H149" s="125"/>
      <c r="I149" s="128" t="s">
        <v>127</v>
      </c>
      <c r="J149" s="128"/>
      <c r="K149" s="128" t="s">
        <v>134</v>
      </c>
      <c r="L149" s="119"/>
      <c r="M149" s="129" t="s">
        <v>144</v>
      </c>
      <c r="N149" s="11"/>
      <c r="O149" s="6"/>
    </row>
    <row r="150" spans="1:16" ht="15.6" x14ac:dyDescent="0.3">
      <c r="A150" s="26"/>
      <c r="B150" s="27" t="s">
        <v>82</v>
      </c>
      <c r="C150" s="27"/>
      <c r="D150" s="27"/>
      <c r="E150" s="27"/>
      <c r="F150" s="27"/>
      <c r="G150" s="27"/>
      <c r="H150" s="27"/>
      <c r="I150" s="56">
        <v>15000</v>
      </c>
      <c r="J150" s="27"/>
      <c r="K150" s="153">
        <v>5000</v>
      </c>
      <c r="L150" s="27"/>
      <c r="M150" s="56">
        <v>15000</v>
      </c>
      <c r="N150" s="27"/>
      <c r="O150" s="6"/>
    </row>
    <row r="151" spans="1:16" ht="15.6" x14ac:dyDescent="0.3">
      <c r="A151" s="26"/>
      <c r="B151" s="27" t="s">
        <v>83</v>
      </c>
      <c r="C151" s="27"/>
      <c r="D151" s="27"/>
      <c r="E151" s="27"/>
      <c r="F151" s="27"/>
      <c r="G151" s="27"/>
      <c r="H151" s="27"/>
      <c r="I151" s="56">
        <f>+'April 2005'!I152</f>
        <v>497</v>
      </c>
      <c r="J151" s="27"/>
      <c r="K151" s="56">
        <v>0</v>
      </c>
      <c r="L151" s="27"/>
      <c r="M151" s="56">
        <f>K151+I151</f>
        <v>497</v>
      </c>
      <c r="N151" s="27"/>
      <c r="O151" s="6"/>
    </row>
    <row r="152" spans="1:16" ht="15.6" x14ac:dyDescent="0.3">
      <c r="A152" s="26"/>
      <c r="B152" s="27" t="s">
        <v>84</v>
      </c>
      <c r="C152" s="27"/>
      <c r="D152" s="27"/>
      <c r="E152" s="27"/>
      <c r="F152" s="27"/>
      <c r="G152" s="27"/>
      <c r="H152" s="27"/>
      <c r="I152" s="37">
        <v>142</v>
      </c>
      <c r="J152" s="27"/>
      <c r="K152" s="27">
        <v>0</v>
      </c>
      <c r="L152" s="27"/>
      <c r="M152" s="56">
        <f>K152+I152</f>
        <v>142</v>
      </c>
      <c r="N152" s="27"/>
      <c r="O152" s="6"/>
    </row>
    <row r="153" spans="1:16" ht="15.6" x14ac:dyDescent="0.3">
      <c r="A153" s="26"/>
      <c r="B153" s="27" t="s">
        <v>85</v>
      </c>
      <c r="C153" s="27"/>
      <c r="D153" s="27"/>
      <c r="E153" s="27"/>
      <c r="F153" s="27"/>
      <c r="G153" s="27"/>
      <c r="H153" s="27"/>
      <c r="I153" s="56">
        <f>I151+I152</f>
        <v>639</v>
      </c>
      <c r="J153" s="27"/>
      <c r="K153" s="56">
        <f>K152+K151</f>
        <v>0</v>
      </c>
      <c r="L153" s="27"/>
      <c r="M153" s="56">
        <f>K153+I153</f>
        <v>639</v>
      </c>
      <c r="N153" s="27"/>
      <c r="O153" s="6"/>
    </row>
    <row r="154" spans="1:16" ht="15.6" x14ac:dyDescent="0.3">
      <c r="A154" s="26"/>
      <c r="B154" s="27" t="s">
        <v>86</v>
      </c>
      <c r="C154" s="27"/>
      <c r="D154" s="27"/>
      <c r="E154" s="27"/>
      <c r="F154" s="27"/>
      <c r="G154" s="27"/>
      <c r="H154" s="27"/>
      <c r="I154" s="56">
        <f>I150-I153-K153</f>
        <v>14361</v>
      </c>
      <c r="J154" s="27"/>
      <c r="K154" s="43">
        <v>0</v>
      </c>
      <c r="L154" s="27"/>
      <c r="M154" s="56"/>
      <c r="N154" s="27"/>
      <c r="O154" s="6"/>
    </row>
    <row r="155" spans="1:16" ht="16.2" thickBot="1" x14ac:dyDescent="0.35">
      <c r="A155" s="26"/>
      <c r="B155" s="27"/>
      <c r="C155" s="27"/>
      <c r="D155" s="27"/>
      <c r="E155" s="27"/>
      <c r="F155" s="27"/>
      <c r="G155" s="27"/>
      <c r="H155" s="27"/>
      <c r="I155" s="27"/>
      <c r="J155" s="27"/>
      <c r="K155" s="27"/>
      <c r="L155" s="27"/>
      <c r="M155" s="66"/>
      <c r="N155" s="27"/>
      <c r="O155" s="6"/>
    </row>
    <row r="156" spans="1:16" ht="15.6" x14ac:dyDescent="0.3">
      <c r="A156" s="2"/>
      <c r="B156" s="5"/>
      <c r="C156" s="5"/>
      <c r="D156" s="5"/>
      <c r="E156" s="5"/>
      <c r="F156" s="5"/>
      <c r="G156" s="5"/>
      <c r="H156" s="5"/>
      <c r="I156" s="5"/>
      <c r="J156" s="5"/>
      <c r="K156" s="5"/>
      <c r="L156" s="5"/>
      <c r="M156" s="53"/>
      <c r="N156" s="5"/>
      <c r="O156" s="6"/>
    </row>
    <row r="157" spans="1:16" ht="15.6" x14ac:dyDescent="0.3">
      <c r="A157" s="7"/>
      <c r="B157" s="127" t="s">
        <v>87</v>
      </c>
      <c r="C157" s="15"/>
      <c r="D157" s="15"/>
      <c r="E157" s="9"/>
      <c r="F157" s="9"/>
      <c r="G157" s="9"/>
      <c r="H157" s="9"/>
      <c r="I157" s="9"/>
      <c r="J157" s="9"/>
      <c r="K157" s="9"/>
      <c r="L157" s="9"/>
      <c r="M157" s="72"/>
      <c r="N157" s="9"/>
      <c r="O157" s="6"/>
    </row>
    <row r="158" spans="1:16" ht="15.6" x14ac:dyDescent="0.3">
      <c r="A158" s="26"/>
      <c r="B158" s="27" t="s">
        <v>88</v>
      </c>
      <c r="C158" s="27"/>
      <c r="D158" s="27"/>
      <c r="E158" s="27"/>
      <c r="F158" s="27"/>
      <c r="G158" s="27"/>
      <c r="H158" s="27"/>
      <c r="I158" s="27"/>
      <c r="J158" s="27"/>
      <c r="K158" s="27"/>
      <c r="L158" s="27"/>
      <c r="M158" s="63">
        <f>(M86+M88+M89+M90+M91)/-M92</f>
        <v>2.5042764283270613</v>
      </c>
      <c r="N158" s="27" t="s">
        <v>145</v>
      </c>
      <c r="O158" s="6"/>
    </row>
    <row r="159" spans="1:16" ht="15.6" x14ac:dyDescent="0.3">
      <c r="A159" s="26"/>
      <c r="B159" s="27" t="s">
        <v>89</v>
      </c>
      <c r="C159" s="27"/>
      <c r="D159" s="27"/>
      <c r="E159" s="27"/>
      <c r="F159" s="27"/>
      <c r="G159" s="27"/>
      <c r="H159" s="27"/>
      <c r="I159" s="27"/>
      <c r="J159" s="27"/>
      <c r="K159" s="27"/>
      <c r="L159" s="27"/>
      <c r="M159" s="73">
        <v>2.15</v>
      </c>
      <c r="N159" s="27" t="s">
        <v>145</v>
      </c>
      <c r="O159" s="6"/>
    </row>
    <row r="160" spans="1:16" ht="15.6" x14ac:dyDescent="0.3">
      <c r="A160" s="26"/>
      <c r="B160" s="27" t="s">
        <v>90</v>
      </c>
      <c r="C160" s="27"/>
      <c r="D160" s="27"/>
      <c r="E160" s="27"/>
      <c r="F160" s="27"/>
      <c r="G160" s="27"/>
      <c r="H160" s="27"/>
      <c r="I160" s="27"/>
      <c r="J160" s="27"/>
      <c r="K160" s="27"/>
      <c r="L160" s="27"/>
      <c r="M160" s="63">
        <f>(M86+M88+M89+M90+M91+M92)/-M93</f>
        <v>7.4651952461799658</v>
      </c>
      <c r="N160" s="27" t="s">
        <v>145</v>
      </c>
      <c r="O160" s="6"/>
    </row>
    <row r="161" spans="1:15" ht="15.6" x14ac:dyDescent="0.3">
      <c r="A161" s="26"/>
      <c r="B161" s="27" t="s">
        <v>91</v>
      </c>
      <c r="C161" s="27"/>
      <c r="D161" s="27"/>
      <c r="E161" s="27"/>
      <c r="F161" s="27"/>
      <c r="G161" s="27"/>
      <c r="H161" s="27"/>
      <c r="I161" s="27"/>
      <c r="J161" s="27"/>
      <c r="K161" s="27"/>
      <c r="L161" s="27"/>
      <c r="M161" s="74">
        <v>5.7</v>
      </c>
      <c r="N161" s="27" t="s">
        <v>145</v>
      </c>
      <c r="O161" s="6"/>
    </row>
    <row r="162" spans="1:15" ht="15.6" x14ac:dyDescent="0.3">
      <c r="A162" s="26"/>
      <c r="B162" s="27" t="s">
        <v>181</v>
      </c>
      <c r="C162" s="27"/>
      <c r="D162" s="27"/>
      <c r="E162" s="27"/>
      <c r="F162" s="27"/>
      <c r="G162" s="27"/>
      <c r="H162" s="27"/>
      <c r="I162" s="27"/>
      <c r="J162" s="27"/>
      <c r="K162" s="27"/>
      <c r="L162" s="27"/>
      <c r="M162" s="63">
        <f>(M86+M88+M89+M90+M91+M92+M93)/-M94</f>
        <v>9.6161616161616159</v>
      </c>
      <c r="N162" s="27" t="s">
        <v>145</v>
      </c>
      <c r="O162" s="6"/>
    </row>
    <row r="163" spans="1:15" ht="15.6" x14ac:dyDescent="0.3">
      <c r="A163" s="26"/>
      <c r="B163" s="27" t="s">
        <v>182</v>
      </c>
      <c r="C163" s="27"/>
      <c r="D163" s="27"/>
      <c r="E163" s="27"/>
      <c r="F163" s="27"/>
      <c r="G163" s="27"/>
      <c r="H163" s="27"/>
      <c r="I163" s="27"/>
      <c r="J163" s="27"/>
      <c r="K163" s="27"/>
      <c r="L163" s="27"/>
      <c r="M163" s="74">
        <v>6.99</v>
      </c>
      <c r="N163" s="27" t="s">
        <v>145</v>
      </c>
      <c r="O163" s="6"/>
    </row>
    <row r="164" spans="1:15" ht="15.6" x14ac:dyDescent="0.3">
      <c r="A164" s="26"/>
      <c r="B164" s="27"/>
      <c r="C164" s="27"/>
      <c r="D164" s="27"/>
      <c r="E164" s="27"/>
      <c r="F164" s="27"/>
      <c r="G164" s="27"/>
      <c r="H164" s="27"/>
      <c r="I164" s="27"/>
      <c r="J164" s="27"/>
      <c r="K164" s="27"/>
      <c r="L164" s="27"/>
      <c r="M164" s="27"/>
      <c r="N164" s="27"/>
      <c r="O164" s="6"/>
    </row>
    <row r="165" spans="1:15" ht="15.6" x14ac:dyDescent="0.3">
      <c r="A165" s="26"/>
      <c r="B165" s="27"/>
      <c r="C165" s="27"/>
      <c r="D165" s="27"/>
      <c r="E165" s="27"/>
      <c r="F165" s="27"/>
      <c r="G165" s="27"/>
      <c r="H165" s="27"/>
      <c r="I165" s="27"/>
      <c r="J165" s="27"/>
      <c r="K165" s="27"/>
      <c r="L165" s="27"/>
      <c r="M165" s="27"/>
      <c r="N165" s="27"/>
      <c r="O165" s="6"/>
    </row>
    <row r="166" spans="1:15" ht="15.6" x14ac:dyDescent="0.3">
      <c r="A166" s="7"/>
      <c r="B166" s="9"/>
      <c r="C166" s="9"/>
      <c r="D166" s="9"/>
      <c r="E166" s="9"/>
      <c r="F166" s="9"/>
      <c r="G166" s="9"/>
      <c r="H166" s="9"/>
      <c r="I166" s="9"/>
      <c r="J166" s="9"/>
      <c r="K166" s="9"/>
      <c r="L166" s="9"/>
      <c r="M166" s="9"/>
      <c r="N166" s="9"/>
      <c r="O166" s="6"/>
    </row>
    <row r="167" spans="1:15" ht="18" thickBot="1" x14ac:dyDescent="0.35">
      <c r="A167" s="109"/>
      <c r="B167" s="110" t="str">
        <f>B113</f>
        <v>PSF1 INVESTOR REPORT QUARTER ENDING JULY 2005</v>
      </c>
      <c r="C167" s="144"/>
      <c r="D167" s="144"/>
      <c r="E167" s="144"/>
      <c r="F167" s="144"/>
      <c r="G167" s="144"/>
      <c r="H167" s="144"/>
      <c r="I167" s="144"/>
      <c r="J167" s="144"/>
      <c r="K167" s="144"/>
      <c r="L167" s="144"/>
      <c r="M167" s="144"/>
      <c r="N167" s="145"/>
      <c r="O167" s="6"/>
    </row>
    <row r="168" spans="1:15" ht="15.6" x14ac:dyDescent="0.3">
      <c r="A168" s="75"/>
      <c r="B168" s="64" t="s">
        <v>92</v>
      </c>
      <c r="C168" s="76"/>
      <c r="D168" s="76"/>
      <c r="E168" s="76"/>
      <c r="F168" s="76"/>
      <c r="G168" s="76"/>
      <c r="H168" s="77"/>
      <c r="I168" s="77"/>
      <c r="J168" s="77"/>
      <c r="K168" s="78">
        <f>D81</f>
        <v>38562</v>
      </c>
      <c r="L168" s="5"/>
      <c r="M168" s="5"/>
      <c r="N168" s="5"/>
      <c r="O168" s="6"/>
    </row>
    <row r="169" spans="1:15" ht="15.6" x14ac:dyDescent="0.3">
      <c r="A169" s="79"/>
      <c r="B169" s="80"/>
      <c r="C169" s="81"/>
      <c r="D169" s="81"/>
      <c r="E169" s="81"/>
      <c r="F169" s="81"/>
      <c r="G169" s="81"/>
      <c r="H169" s="82"/>
      <c r="I169" s="82"/>
      <c r="J169" s="82"/>
      <c r="K169" s="82"/>
      <c r="L169" s="9"/>
      <c r="M169" s="9"/>
      <c r="N169" s="9"/>
      <c r="O169" s="6"/>
    </row>
    <row r="170" spans="1:15" ht="15.6" x14ac:dyDescent="0.3">
      <c r="A170" s="83"/>
      <c r="B170" s="84" t="s">
        <v>93</v>
      </c>
      <c r="C170" s="85"/>
      <c r="D170" s="85"/>
      <c r="E170" s="85"/>
      <c r="F170" s="85"/>
      <c r="G170" s="85"/>
      <c r="H170" s="70"/>
      <c r="I170" s="70"/>
      <c r="J170" s="70"/>
      <c r="K170" s="86">
        <v>9.4600000000000004E-2</v>
      </c>
      <c r="L170" s="27"/>
      <c r="M170" s="27"/>
      <c r="N170" s="27"/>
      <c r="O170" s="6"/>
    </row>
    <row r="171" spans="1:15" ht="15.6" x14ac:dyDescent="0.3">
      <c r="A171" s="83"/>
      <c r="B171" s="84" t="s">
        <v>94</v>
      </c>
      <c r="C171" s="85"/>
      <c r="D171" s="85"/>
      <c r="E171" s="85"/>
      <c r="F171" s="85"/>
      <c r="G171" s="85"/>
      <c r="H171" s="70"/>
      <c r="I171" s="70"/>
      <c r="J171" s="70"/>
      <c r="K171" s="42">
        <v>5.2327499999999992E-2</v>
      </c>
      <c r="L171" s="27"/>
      <c r="M171" s="27"/>
      <c r="N171" s="27"/>
      <c r="O171" s="6"/>
    </row>
    <row r="172" spans="1:15" ht="15.6" x14ac:dyDescent="0.3">
      <c r="A172" s="83"/>
      <c r="B172" s="84" t="s">
        <v>95</v>
      </c>
      <c r="C172" s="85"/>
      <c r="D172" s="85"/>
      <c r="E172" s="85"/>
      <c r="F172" s="85"/>
      <c r="G172" s="85"/>
      <c r="H172" s="70"/>
      <c r="I172" s="70"/>
      <c r="J172" s="70"/>
      <c r="K172" s="86">
        <f>K170-K171</f>
        <v>4.2272500000000011E-2</v>
      </c>
      <c r="L172" s="27"/>
      <c r="M172" s="27"/>
      <c r="N172" s="27"/>
      <c r="O172" s="6"/>
    </row>
    <row r="173" spans="1:15" ht="15.6" x14ac:dyDescent="0.3">
      <c r="A173" s="83"/>
      <c r="B173" s="84" t="s">
        <v>96</v>
      </c>
      <c r="C173" s="85"/>
      <c r="D173" s="85"/>
      <c r="E173" s="85"/>
      <c r="F173" s="85"/>
      <c r="G173" s="85"/>
      <c r="H173" s="70"/>
      <c r="I173" s="70"/>
      <c r="J173" s="70"/>
      <c r="K173" s="86">
        <v>9.2600000000000002E-2</v>
      </c>
      <c r="L173" s="27"/>
      <c r="M173" s="27"/>
      <c r="N173" s="27"/>
      <c r="O173" s="6"/>
    </row>
    <row r="174" spans="1:15" ht="15.6" x14ac:dyDescent="0.3">
      <c r="A174" s="83"/>
      <c r="B174" s="84" t="s">
        <v>97</v>
      </c>
      <c r="C174" s="85"/>
      <c r="D174" s="85"/>
      <c r="E174" s="85"/>
      <c r="F174" s="85"/>
      <c r="G174" s="85"/>
      <c r="H174" s="70"/>
      <c r="I174" s="70"/>
      <c r="J174" s="70"/>
      <c r="K174" s="86">
        <f>M36</f>
        <v>5.2246299999999996E-2</v>
      </c>
      <c r="L174" s="27"/>
      <c r="M174" s="27"/>
      <c r="N174" s="27"/>
      <c r="O174" s="6"/>
    </row>
    <row r="175" spans="1:15" ht="15.6" x14ac:dyDescent="0.3">
      <c r="A175" s="83"/>
      <c r="B175" s="84" t="s">
        <v>98</v>
      </c>
      <c r="C175" s="85"/>
      <c r="D175" s="85"/>
      <c r="E175" s="85"/>
      <c r="F175" s="85"/>
      <c r="G175" s="85"/>
      <c r="H175" s="70"/>
      <c r="I175" s="70"/>
      <c r="J175" s="70"/>
      <c r="K175" s="86">
        <f>K173-K174</f>
        <v>4.0353700000000006E-2</v>
      </c>
      <c r="L175" s="27"/>
      <c r="M175" s="27"/>
      <c r="N175" s="27"/>
      <c r="O175" s="6"/>
    </row>
    <row r="176" spans="1:15" ht="15.6" x14ac:dyDescent="0.3">
      <c r="A176" s="83"/>
      <c r="B176" s="84" t="s">
        <v>211</v>
      </c>
      <c r="C176" s="85"/>
      <c r="D176" s="85"/>
      <c r="E176" s="85"/>
      <c r="F176" s="85"/>
      <c r="G176" s="85"/>
      <c r="H176" s="70"/>
      <c r="I176" s="70"/>
      <c r="J176" s="70"/>
      <c r="K176" s="86">
        <f>(+M86+M88)/E59</f>
        <v>3.6072425419522741E-2</v>
      </c>
      <c r="L176" s="27"/>
      <c r="M176" s="27"/>
      <c r="N176" s="27"/>
      <c r="O176" s="6"/>
    </row>
    <row r="177" spans="1:15" ht="15.6" x14ac:dyDescent="0.3">
      <c r="A177" s="83"/>
      <c r="B177" s="84" t="s">
        <v>99</v>
      </c>
      <c r="C177" s="85"/>
      <c r="D177" s="85"/>
      <c r="E177" s="85"/>
      <c r="F177" s="85"/>
      <c r="G177" s="85"/>
      <c r="H177" s="70"/>
      <c r="I177" s="70"/>
      <c r="J177" s="70"/>
      <c r="K177" s="139">
        <v>49628</v>
      </c>
      <c r="L177" s="27"/>
      <c r="M177" s="27"/>
      <c r="N177" s="27"/>
      <c r="O177" s="6"/>
    </row>
    <row r="178" spans="1:15" ht="15.6" x14ac:dyDescent="0.3">
      <c r="A178" s="83"/>
      <c r="B178" s="84" t="s">
        <v>100</v>
      </c>
      <c r="C178" s="85"/>
      <c r="D178" s="85"/>
      <c r="E178" s="85"/>
      <c r="F178" s="85"/>
      <c r="G178" s="85"/>
      <c r="H178" s="70"/>
      <c r="I178" s="70"/>
      <c r="J178" s="70"/>
      <c r="K178" s="139">
        <v>49628</v>
      </c>
      <c r="L178" s="27"/>
      <c r="M178" s="27"/>
      <c r="N178" s="27"/>
      <c r="O178" s="6"/>
    </row>
    <row r="179" spans="1:15" ht="15.6" x14ac:dyDescent="0.3">
      <c r="A179" s="83"/>
      <c r="B179" s="84" t="s">
        <v>165</v>
      </c>
      <c r="C179" s="85"/>
      <c r="D179" s="85"/>
      <c r="E179" s="85"/>
      <c r="F179" s="85"/>
      <c r="G179" s="85"/>
      <c r="H179" s="70"/>
      <c r="I179" s="70"/>
      <c r="J179" s="70"/>
      <c r="K179" s="139">
        <v>49628</v>
      </c>
      <c r="L179" s="27"/>
      <c r="M179" s="27"/>
      <c r="N179" s="27"/>
      <c r="O179" s="6"/>
    </row>
    <row r="180" spans="1:15" ht="15.6" x14ac:dyDescent="0.3">
      <c r="A180" s="83"/>
      <c r="B180" s="84" t="s">
        <v>101</v>
      </c>
      <c r="C180" s="85"/>
      <c r="D180" s="85"/>
      <c r="E180" s="85"/>
      <c r="F180" s="85"/>
      <c r="G180" s="85"/>
      <c r="H180" s="70"/>
      <c r="I180" s="70"/>
      <c r="J180" s="70"/>
      <c r="K180" s="135">
        <v>15.78</v>
      </c>
      <c r="L180" s="27" t="s">
        <v>139</v>
      </c>
      <c r="M180" s="27"/>
      <c r="N180" s="27"/>
      <c r="O180" s="6"/>
    </row>
    <row r="181" spans="1:15" ht="15.6" x14ac:dyDescent="0.3">
      <c r="A181" s="83"/>
      <c r="B181" s="84" t="s">
        <v>102</v>
      </c>
      <c r="C181" s="85"/>
      <c r="D181" s="85"/>
      <c r="E181" s="85"/>
      <c r="F181" s="85"/>
      <c r="G181" s="85"/>
      <c r="H181" s="70"/>
      <c r="I181" s="70"/>
      <c r="J181" s="70"/>
      <c r="K181" s="135">
        <v>15.97</v>
      </c>
      <c r="L181" s="27" t="s">
        <v>139</v>
      </c>
      <c r="M181" s="27"/>
      <c r="N181" s="27"/>
      <c r="O181" s="6"/>
    </row>
    <row r="182" spans="1:15" ht="15.6" x14ac:dyDescent="0.3">
      <c r="A182" s="83"/>
      <c r="B182" s="84" t="s">
        <v>103</v>
      </c>
      <c r="C182" s="85"/>
      <c r="D182" s="85"/>
      <c r="E182" s="85"/>
      <c r="F182" s="85"/>
      <c r="G182" s="85"/>
      <c r="H182" s="70"/>
      <c r="I182" s="70"/>
      <c r="J182" s="70"/>
      <c r="K182" s="138">
        <f>K81/E59</f>
        <v>0.13569365769653111</v>
      </c>
      <c r="L182" s="27"/>
      <c r="M182" s="27"/>
      <c r="N182" s="27"/>
      <c r="O182" s="6"/>
    </row>
    <row r="183" spans="1:15" ht="15.6" x14ac:dyDescent="0.3">
      <c r="A183" s="83"/>
      <c r="B183" s="84" t="s">
        <v>104</v>
      </c>
      <c r="C183" s="85"/>
      <c r="D183" s="85"/>
      <c r="E183" s="85"/>
      <c r="F183" s="85"/>
      <c r="G183" s="85"/>
      <c r="H183" s="70"/>
      <c r="I183" s="70"/>
      <c r="J183" s="70"/>
      <c r="K183" s="86">
        <v>0.37569999999999998</v>
      </c>
      <c r="L183" s="27"/>
      <c r="M183" s="27"/>
      <c r="N183" s="27"/>
      <c r="O183" s="6"/>
    </row>
    <row r="184" spans="1:15" ht="15.6" x14ac:dyDescent="0.3">
      <c r="A184" s="83"/>
      <c r="B184" s="84"/>
      <c r="C184" s="84"/>
      <c r="D184" s="84"/>
      <c r="E184" s="84"/>
      <c r="F184" s="84"/>
      <c r="G184" s="84"/>
      <c r="H184" s="27"/>
      <c r="I184" s="27"/>
      <c r="J184" s="27"/>
      <c r="K184" s="66"/>
      <c r="L184" s="27"/>
      <c r="M184" s="87"/>
      <c r="N184" s="27"/>
      <c r="O184" s="6"/>
    </row>
    <row r="185" spans="1:15" ht="15.6" x14ac:dyDescent="0.3">
      <c r="A185" s="88"/>
      <c r="B185" s="16" t="s">
        <v>105</v>
      </c>
      <c r="C185" s="89"/>
      <c r="D185" s="89"/>
      <c r="E185" s="90"/>
      <c r="F185" s="89"/>
      <c r="G185" s="90"/>
      <c r="H185" s="89"/>
      <c r="I185" s="90"/>
      <c r="J185" s="19" t="s">
        <v>128</v>
      </c>
      <c r="K185" s="91" t="s">
        <v>135</v>
      </c>
      <c r="L185" s="9"/>
      <c r="M185" s="9"/>
      <c r="N185" s="9"/>
      <c r="O185" s="6"/>
    </row>
    <row r="186" spans="1:15" ht="15.6" x14ac:dyDescent="0.3">
      <c r="A186" s="92"/>
      <c r="B186" s="84" t="s">
        <v>106</v>
      </c>
      <c r="C186" s="57"/>
      <c r="D186" s="57"/>
      <c r="E186" s="57"/>
      <c r="F186" s="57"/>
      <c r="G186" s="27"/>
      <c r="H186" s="27"/>
      <c r="I186" s="27"/>
      <c r="J186" s="33">
        <v>464</v>
      </c>
      <c r="K186" s="93">
        <v>12536</v>
      </c>
      <c r="L186" s="27"/>
      <c r="M186" s="87"/>
      <c r="N186" s="94"/>
      <c r="O186" s="6"/>
    </row>
    <row r="187" spans="1:15" ht="15.6" x14ac:dyDescent="0.3">
      <c r="A187" s="92"/>
      <c r="B187" s="84" t="s">
        <v>196</v>
      </c>
      <c r="C187" s="57"/>
      <c r="D187" s="57"/>
      <c r="E187" s="57"/>
      <c r="F187" s="57"/>
      <c r="G187" s="27"/>
      <c r="H187" s="27"/>
      <c r="I187" s="27"/>
      <c r="J187" s="33">
        <v>18</v>
      </c>
      <c r="K187" s="93">
        <v>523</v>
      </c>
      <c r="L187" s="27"/>
      <c r="M187" s="87"/>
      <c r="N187" s="94"/>
      <c r="O187" s="6"/>
    </row>
    <row r="188" spans="1:15" ht="15.6" x14ac:dyDescent="0.3">
      <c r="A188" s="92"/>
      <c r="B188" s="130" t="s">
        <v>107</v>
      </c>
      <c r="C188" s="57"/>
      <c r="D188" s="57"/>
      <c r="E188" s="57"/>
      <c r="F188" s="57"/>
      <c r="G188" s="27"/>
      <c r="H188" s="27"/>
      <c r="I188" s="27"/>
      <c r="J188" s="27"/>
      <c r="K188" s="93">
        <v>0</v>
      </c>
      <c r="L188" s="27"/>
      <c r="M188" s="87"/>
      <c r="N188" s="94"/>
      <c r="O188" s="6"/>
    </row>
    <row r="189" spans="1:15" ht="15.6" x14ac:dyDescent="0.3">
      <c r="A189" s="92"/>
      <c r="B189" s="130" t="s">
        <v>108</v>
      </c>
      <c r="C189" s="57"/>
      <c r="D189" s="57"/>
      <c r="E189" s="57"/>
      <c r="F189" s="57"/>
      <c r="G189" s="27"/>
      <c r="H189" s="27"/>
      <c r="I189" s="27"/>
      <c r="J189" s="27"/>
      <c r="K189" s="93">
        <f>+I59</f>
        <v>91308</v>
      </c>
      <c r="L189" s="27"/>
      <c r="M189" s="87"/>
      <c r="N189" s="94"/>
      <c r="O189" s="6"/>
    </row>
    <row r="190" spans="1:15" ht="15.6" x14ac:dyDescent="0.3">
      <c r="A190" s="95"/>
      <c r="B190" s="130" t="s">
        <v>109</v>
      </c>
      <c r="C190" s="57"/>
      <c r="D190" s="57"/>
      <c r="E190" s="84"/>
      <c r="F190" s="84"/>
      <c r="G190" s="84"/>
      <c r="H190" s="27"/>
      <c r="I190" s="27"/>
      <c r="J190" s="27"/>
      <c r="K190" s="93"/>
      <c r="L190" s="27"/>
      <c r="M190" s="87"/>
      <c r="N190" s="96"/>
      <c r="O190" s="6"/>
    </row>
    <row r="191" spans="1:15" ht="15.6" x14ac:dyDescent="0.3">
      <c r="A191" s="95"/>
      <c r="B191" s="131" t="s">
        <v>110</v>
      </c>
      <c r="C191" s="57"/>
      <c r="D191" s="57"/>
      <c r="E191" s="84"/>
      <c r="F191" s="84"/>
      <c r="G191" s="84"/>
      <c r="H191" s="27"/>
      <c r="I191" s="27"/>
      <c r="J191" s="27"/>
      <c r="K191" s="93">
        <f>+M138</f>
        <v>323</v>
      </c>
      <c r="L191" s="27"/>
      <c r="M191" s="87"/>
      <c r="N191" s="96"/>
      <c r="O191" s="6"/>
    </row>
    <row r="192" spans="1:15" ht="15.6" x14ac:dyDescent="0.3">
      <c r="A192" s="92"/>
      <c r="B192" s="84" t="s">
        <v>111</v>
      </c>
      <c r="C192" s="57"/>
      <c r="D192" s="57"/>
      <c r="E192" s="57"/>
      <c r="F192" s="57"/>
      <c r="G192" s="57"/>
      <c r="H192" s="27"/>
      <c r="I192" s="27"/>
      <c r="J192" s="27"/>
      <c r="K192" s="93">
        <f>+'April 2005'!K191+'July 2005'!K191</f>
        <v>884</v>
      </c>
      <c r="L192" s="27"/>
      <c r="M192" s="87"/>
      <c r="N192" s="96"/>
      <c r="O192" s="6"/>
    </row>
    <row r="193" spans="1:15" ht="15.6" x14ac:dyDescent="0.3">
      <c r="A193" s="92"/>
      <c r="B193" s="84" t="s">
        <v>112</v>
      </c>
      <c r="C193" s="57"/>
      <c r="D193" s="57"/>
      <c r="E193" s="57"/>
      <c r="F193" s="57"/>
      <c r="G193" s="57"/>
      <c r="H193" s="27"/>
      <c r="I193" s="27"/>
      <c r="J193" s="27"/>
      <c r="K193" s="93">
        <f>+'April 2005'!K192+70</f>
        <v>70</v>
      </c>
      <c r="L193" s="27"/>
      <c r="M193" s="87"/>
      <c r="N193" s="96"/>
      <c r="O193" s="6"/>
    </row>
    <row r="194" spans="1:15" ht="15.6" x14ac:dyDescent="0.3">
      <c r="A194" s="95"/>
      <c r="B194" s="130" t="s">
        <v>241</v>
      </c>
      <c r="C194" s="57"/>
      <c r="D194" s="57"/>
      <c r="E194" s="84"/>
      <c r="F194" s="84"/>
      <c r="G194" s="84"/>
      <c r="H194" s="27"/>
      <c r="I194" s="27"/>
      <c r="J194" s="27"/>
      <c r="K194" s="93"/>
      <c r="L194" s="27"/>
      <c r="M194" s="87"/>
      <c r="N194" s="96"/>
      <c r="O194" s="6"/>
    </row>
    <row r="195" spans="1:15" ht="15.6" x14ac:dyDescent="0.3">
      <c r="A195" s="95"/>
      <c r="B195" s="84" t="s">
        <v>236</v>
      </c>
      <c r="C195" s="57"/>
      <c r="D195" s="57"/>
      <c r="E195" s="84"/>
      <c r="F195" s="84"/>
      <c r="G195" s="84"/>
      <c r="H195" s="27"/>
      <c r="I195" s="27"/>
      <c r="J195" s="27"/>
      <c r="K195" s="93">
        <v>0</v>
      </c>
      <c r="L195" s="27"/>
      <c r="M195" s="87"/>
      <c r="N195" s="96"/>
      <c r="O195" s="6"/>
    </row>
    <row r="196" spans="1:15" ht="15.6" x14ac:dyDescent="0.3">
      <c r="A196" s="92"/>
      <c r="B196" s="84" t="s">
        <v>113</v>
      </c>
      <c r="C196" s="57"/>
      <c r="D196" s="57"/>
      <c r="E196" s="97"/>
      <c r="F196" s="97"/>
      <c r="G196" s="98"/>
      <c r="H196" s="27"/>
      <c r="I196" s="27"/>
      <c r="J196" s="27"/>
      <c r="K196" s="68">
        <v>0</v>
      </c>
      <c r="L196" s="27"/>
      <c r="M196" s="87"/>
      <c r="N196" s="96"/>
      <c r="O196" s="6"/>
    </row>
    <row r="197" spans="1:15" ht="15.6" x14ac:dyDescent="0.3">
      <c r="A197" s="92"/>
      <c r="B197" s="84" t="s">
        <v>114</v>
      </c>
      <c r="C197" s="57"/>
      <c r="D197" s="57"/>
      <c r="E197" s="97"/>
      <c r="F197" s="97"/>
      <c r="G197" s="98"/>
      <c r="H197" s="27"/>
      <c r="I197" s="27"/>
      <c r="J197" s="27"/>
      <c r="K197" s="68">
        <v>0</v>
      </c>
      <c r="L197" s="27"/>
      <c r="M197" s="87"/>
      <c r="N197" s="96"/>
      <c r="O197" s="6"/>
    </row>
    <row r="198" spans="1:15" ht="15.6" x14ac:dyDescent="0.3">
      <c r="A198" s="92"/>
      <c r="B198" s="84"/>
      <c r="C198" s="57"/>
      <c r="D198" s="57"/>
      <c r="E198" s="99"/>
      <c r="F198" s="97"/>
      <c r="G198" s="98"/>
      <c r="H198" s="27"/>
      <c r="I198" s="27"/>
      <c r="J198" s="27"/>
      <c r="K198" s="100"/>
      <c r="L198" s="27"/>
      <c r="M198" s="87"/>
      <c r="N198" s="96"/>
      <c r="O198" s="6"/>
    </row>
    <row r="199" spans="1:15" ht="17.399999999999999" x14ac:dyDescent="0.3">
      <c r="A199" s="92"/>
      <c r="B199" s="148" t="s">
        <v>200</v>
      </c>
      <c r="C199" s="57"/>
      <c r="D199" s="57"/>
      <c r="E199" s="99"/>
      <c r="F199" s="97"/>
      <c r="G199" s="98"/>
      <c r="H199" s="27"/>
      <c r="I199" s="27"/>
      <c r="J199" s="27"/>
      <c r="K199" s="150" t="s">
        <v>199</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5.6" x14ac:dyDescent="0.3">
      <c r="A201" s="7"/>
      <c r="B201" s="16" t="s">
        <v>115</v>
      </c>
      <c r="C201" s="89"/>
      <c r="D201" s="89"/>
      <c r="E201" s="90"/>
      <c r="F201" s="89"/>
      <c r="G201" s="90"/>
      <c r="H201" s="89"/>
      <c r="I201" s="91" t="s">
        <v>128</v>
      </c>
      <c r="J201" s="19" t="s">
        <v>129</v>
      </c>
      <c r="K201" s="91" t="s">
        <v>137</v>
      </c>
      <c r="L201" s="19" t="s">
        <v>129</v>
      </c>
      <c r="M201" s="9"/>
      <c r="N201" s="101"/>
      <c r="O201" s="6"/>
    </row>
    <row r="202" spans="1:15" ht="15.6" x14ac:dyDescent="0.3">
      <c r="A202" s="26"/>
      <c r="B202" s="57" t="s">
        <v>116</v>
      </c>
      <c r="C202" s="102"/>
      <c r="D202" s="102"/>
      <c r="E202" s="57"/>
      <c r="F202" s="102"/>
      <c r="G202" s="27"/>
      <c r="H202" s="102"/>
      <c r="I202" s="57">
        <v>10553</v>
      </c>
      <c r="J202" s="103">
        <f>I202/I211</f>
        <v>0.95788327130797857</v>
      </c>
      <c r="K202" s="56">
        <v>257121</v>
      </c>
      <c r="L202" s="136">
        <f>K202/K211</f>
        <v>0.95351131251923738</v>
      </c>
      <c r="M202" s="87"/>
      <c r="N202" s="96"/>
      <c r="O202" s="6"/>
    </row>
    <row r="203" spans="1:15" ht="15.6" x14ac:dyDescent="0.3">
      <c r="A203" s="26"/>
      <c r="B203" s="57" t="s">
        <v>117</v>
      </c>
      <c r="C203" s="102"/>
      <c r="D203" s="102"/>
      <c r="E203" s="57"/>
      <c r="F203" s="102"/>
      <c r="G203" s="27"/>
      <c r="H203" s="103"/>
      <c r="I203" s="57">
        <v>175</v>
      </c>
      <c r="J203" s="103">
        <f>I203/I211</f>
        <v>1.5884542071344286E-2</v>
      </c>
      <c r="K203" s="56">
        <v>4255</v>
      </c>
      <c r="L203" s="136">
        <f>K203/K211</f>
        <v>1.577930482056835E-2</v>
      </c>
      <c r="M203" s="87"/>
      <c r="N203" s="96"/>
      <c r="O203" s="6"/>
    </row>
    <row r="204" spans="1:15" ht="15.6" x14ac:dyDescent="0.3">
      <c r="A204" s="26"/>
      <c r="B204" s="57" t="s">
        <v>118</v>
      </c>
      <c r="C204" s="102"/>
      <c r="D204" s="102"/>
      <c r="E204" s="57"/>
      <c r="F204" s="102"/>
      <c r="G204" s="27"/>
      <c r="H204" s="103"/>
      <c r="I204" s="57">
        <v>111</v>
      </c>
      <c r="J204" s="103">
        <f>I204/I211</f>
        <v>1.007533811382409E-2</v>
      </c>
      <c r="K204" s="56">
        <v>3440</v>
      </c>
      <c r="L204" s="136">
        <f>K204/K211</f>
        <v>1.2756946787956552E-2</v>
      </c>
      <c r="M204" s="87"/>
      <c r="N204" s="96"/>
      <c r="O204" s="6"/>
    </row>
    <row r="205" spans="1:15" ht="15.6" x14ac:dyDescent="0.3">
      <c r="A205" s="26"/>
      <c r="B205" s="57" t="s">
        <v>167</v>
      </c>
      <c r="C205" s="102"/>
      <c r="D205" s="102"/>
      <c r="E205" s="57"/>
      <c r="F205" s="102"/>
      <c r="G205" s="27"/>
      <c r="H205" s="103"/>
      <c r="I205" s="57">
        <v>47</v>
      </c>
      <c r="J205" s="103">
        <f>I205/I211</f>
        <v>4.2661341563038939E-3</v>
      </c>
      <c r="K205" s="56">
        <v>1455</v>
      </c>
      <c r="L205" s="136">
        <f>K205/K211</f>
        <v>5.3957434815339487E-3</v>
      </c>
      <c r="M205" s="87"/>
      <c r="N205" s="96"/>
      <c r="O205" s="6"/>
    </row>
    <row r="206" spans="1:15" ht="15.6" x14ac:dyDescent="0.3">
      <c r="A206" s="26"/>
      <c r="B206" s="57" t="s">
        <v>168</v>
      </c>
      <c r="C206" s="102"/>
      <c r="D206" s="102"/>
      <c r="E206" s="57"/>
      <c r="F206" s="102"/>
      <c r="G206" s="27"/>
      <c r="H206" s="103"/>
      <c r="I206" s="57">
        <v>39</v>
      </c>
      <c r="J206" s="103">
        <f>I206/I211</f>
        <v>3.5399836616138696E-3</v>
      </c>
      <c r="K206" s="56">
        <v>909</v>
      </c>
      <c r="L206" s="136">
        <f>K206/K211</f>
        <v>3.3709490204222401E-3</v>
      </c>
      <c r="M206" s="87"/>
      <c r="N206" s="96"/>
      <c r="O206" s="6"/>
    </row>
    <row r="207" spans="1:15" ht="15.6" x14ac:dyDescent="0.3">
      <c r="A207" s="26"/>
      <c r="B207" s="57" t="s">
        <v>169</v>
      </c>
      <c r="C207" s="102"/>
      <c r="D207" s="102"/>
      <c r="E207" s="57"/>
      <c r="F207" s="102"/>
      <c r="G207" s="27"/>
      <c r="H207" s="103"/>
      <c r="I207" s="57">
        <v>30</v>
      </c>
      <c r="J207" s="103">
        <f>I207/I211</f>
        <v>2.723064355087592E-3</v>
      </c>
      <c r="K207" s="56">
        <v>770</v>
      </c>
      <c r="L207" s="136">
        <f>K207/K211</f>
        <v>2.8554793682344609E-3</v>
      </c>
      <c r="M207" s="87"/>
      <c r="N207" s="96"/>
      <c r="O207" s="6"/>
    </row>
    <row r="208" spans="1:15" ht="15.6" x14ac:dyDescent="0.3">
      <c r="A208" s="26"/>
      <c r="B208" s="57" t="s">
        <v>176</v>
      </c>
      <c r="C208" s="102"/>
      <c r="D208" s="102"/>
      <c r="E208" s="57"/>
      <c r="F208" s="102"/>
      <c r="G208" s="27"/>
      <c r="H208" s="103"/>
      <c r="I208" s="57">
        <v>41</v>
      </c>
      <c r="J208" s="103">
        <f>I208/I211</f>
        <v>3.7215212852863755E-3</v>
      </c>
      <c r="K208" s="56">
        <f>399+314+311</f>
        <v>1024</v>
      </c>
      <c r="L208" s="136">
        <f>K208/K211</f>
        <v>3.7974167182754388E-3</v>
      </c>
      <c r="M208" s="87"/>
      <c r="N208" s="96"/>
      <c r="O208" s="6"/>
    </row>
    <row r="209" spans="1:15" ht="15.6" x14ac:dyDescent="0.3">
      <c r="A209" s="26"/>
      <c r="B209" s="57" t="s">
        <v>177</v>
      </c>
      <c r="C209" s="102"/>
      <c r="D209" s="102"/>
      <c r="E209" s="57"/>
      <c r="F209" s="102"/>
      <c r="G209" s="27"/>
      <c r="H209" s="103"/>
      <c r="I209" s="57">
        <v>21</v>
      </c>
      <c r="J209" s="103">
        <f>+I209/I211</f>
        <v>1.9061450485613144E-3</v>
      </c>
      <c r="K209" s="56">
        <f>220+307+156</f>
        <v>683</v>
      </c>
      <c r="L209" s="136">
        <f>+K209/K211</f>
        <v>2.532847283771606E-3</v>
      </c>
      <c r="M209" s="87"/>
      <c r="N209" s="94"/>
      <c r="O209" s="6"/>
    </row>
    <row r="210" spans="1:15" ht="15.6" x14ac:dyDescent="0.3">
      <c r="A210" s="26"/>
      <c r="B210" s="57" t="s">
        <v>170</v>
      </c>
      <c r="C210" s="102"/>
      <c r="D210" s="102"/>
      <c r="E210" s="57"/>
      <c r="F210" s="102"/>
      <c r="G210" s="27"/>
      <c r="H210" s="103"/>
      <c r="I210" s="57">
        <v>0</v>
      </c>
      <c r="J210" s="103">
        <f>I210/I211</f>
        <v>0</v>
      </c>
      <c r="K210" s="56">
        <v>0</v>
      </c>
      <c r="L210" s="136">
        <f>+K210/K211</f>
        <v>0</v>
      </c>
      <c r="M210" s="87"/>
      <c r="N210" s="94"/>
      <c r="O210" s="6"/>
    </row>
    <row r="211" spans="1:15" ht="15.6" x14ac:dyDescent="0.3">
      <c r="A211" s="26"/>
      <c r="B211" s="27" t="s">
        <v>189</v>
      </c>
      <c r="C211" s="27"/>
      <c r="D211" s="27"/>
      <c r="E211" s="27"/>
      <c r="F211" s="27"/>
      <c r="G211" s="27"/>
      <c r="H211" s="27"/>
      <c r="I211" s="37">
        <f>SUM(I202:I210)</f>
        <v>11017</v>
      </c>
      <c r="J211" s="136">
        <f>SUM(J202:J210)</f>
        <v>1</v>
      </c>
      <c r="K211" s="56">
        <f>SUM(K202:K210)</f>
        <v>269657</v>
      </c>
      <c r="L211" s="136">
        <f>SUM(L202:L210)</f>
        <v>1</v>
      </c>
      <c r="M211" s="27"/>
      <c r="N211" s="27"/>
      <c r="O211" s="6"/>
    </row>
    <row r="212" spans="1:15" ht="15.6" x14ac:dyDescent="0.3">
      <c r="A212" s="26"/>
      <c r="B212" s="27"/>
      <c r="C212" s="27"/>
      <c r="D212" s="27"/>
      <c r="E212" s="27"/>
      <c r="F212" s="27"/>
      <c r="G212" s="27"/>
      <c r="H212" s="27"/>
      <c r="I212" s="37"/>
      <c r="J212" s="136"/>
      <c r="K212" s="56"/>
      <c r="L212" s="136"/>
      <c r="M212" s="27"/>
      <c r="N212" s="27"/>
      <c r="O212" s="6"/>
    </row>
    <row r="213" spans="1:15" ht="15.6" x14ac:dyDescent="0.3">
      <c r="A213" s="26"/>
      <c r="B213" s="27" t="s">
        <v>144</v>
      </c>
      <c r="C213" s="27"/>
      <c r="D213" s="27"/>
      <c r="E213" s="27"/>
      <c r="F213" s="27"/>
      <c r="G213" s="27"/>
      <c r="H213" s="27"/>
      <c r="I213" s="37"/>
      <c r="J213" s="136"/>
      <c r="K213" s="56">
        <f>+K211+K212</f>
        <v>269657</v>
      </c>
      <c r="L213" s="136"/>
      <c r="M213" s="27"/>
      <c r="N213" s="27"/>
      <c r="O213" s="6"/>
    </row>
    <row r="214" spans="1:15" ht="15.6" x14ac:dyDescent="0.3">
      <c r="A214" s="26"/>
      <c r="B214" s="27"/>
      <c r="C214" s="27"/>
      <c r="D214" s="27"/>
      <c r="E214" s="27"/>
      <c r="F214" s="27"/>
      <c r="G214" s="27"/>
      <c r="H214" s="27"/>
      <c r="I214" s="37"/>
      <c r="J214" s="104"/>
      <c r="K214" s="56"/>
      <c r="L214" s="104"/>
      <c r="M214" s="27"/>
      <c r="N214" s="27"/>
      <c r="O214" s="6"/>
    </row>
    <row r="215" spans="1:15" ht="15.6" x14ac:dyDescent="0.3">
      <c r="A215" s="146"/>
      <c r="B215" s="16" t="s">
        <v>215</v>
      </c>
      <c r="C215" s="17"/>
      <c r="D215" s="17"/>
      <c r="E215" s="17"/>
      <c r="F215" s="19" t="s">
        <v>216</v>
      </c>
      <c r="G215" s="17"/>
      <c r="H215" s="16" t="s">
        <v>217</v>
      </c>
      <c r="I215" s="141"/>
      <c r="J215" s="141"/>
      <c r="K215" s="141"/>
      <c r="L215" s="141"/>
      <c r="M215" s="141"/>
      <c r="N215" s="141"/>
      <c r="O215" s="6"/>
    </row>
    <row r="216" spans="1:15" ht="15.6" x14ac:dyDescent="0.3">
      <c r="A216" s="146"/>
      <c r="B216" s="141"/>
      <c r="C216" s="9"/>
      <c r="D216" s="9"/>
      <c r="E216" s="9"/>
      <c r="F216" s="9"/>
      <c r="G216" s="9"/>
      <c r="H216" s="9"/>
      <c r="I216" s="141"/>
      <c r="J216" s="141"/>
      <c r="K216" s="141"/>
      <c r="L216" s="141"/>
      <c r="M216" s="141"/>
      <c r="N216" s="141"/>
      <c r="O216" s="6"/>
    </row>
    <row r="217" spans="1:15" ht="15.6" x14ac:dyDescent="0.3">
      <c r="A217" s="146"/>
      <c r="B217" s="15" t="s">
        <v>218</v>
      </c>
      <c r="C217" s="15"/>
      <c r="D217" s="15"/>
      <c r="E217" s="15"/>
      <c r="F217" s="158" t="s">
        <v>219</v>
      </c>
      <c r="G217" s="15"/>
      <c r="H217" s="15" t="s">
        <v>220</v>
      </c>
      <c r="I217" s="141"/>
      <c r="J217" s="141"/>
      <c r="K217" s="141"/>
      <c r="L217" s="141"/>
      <c r="M217" s="141"/>
      <c r="N217" s="141"/>
      <c r="O217" s="6"/>
    </row>
    <row r="218" spans="1:15" ht="15.6" x14ac:dyDescent="0.3">
      <c r="A218" s="146"/>
      <c r="B218" s="15" t="s">
        <v>221</v>
      </c>
      <c r="C218" s="15"/>
      <c r="D218" s="15"/>
      <c r="E218" s="15"/>
      <c r="F218" s="158" t="s">
        <v>222</v>
      </c>
      <c r="G218" s="15"/>
      <c r="H218" s="15" t="s">
        <v>223</v>
      </c>
      <c r="I218" s="141"/>
      <c r="J218" s="141"/>
      <c r="K218" s="141"/>
      <c r="L218" s="141"/>
      <c r="M218" s="141"/>
      <c r="N218" s="141"/>
      <c r="O218" s="6"/>
    </row>
    <row r="219" spans="1:15" ht="15.6" x14ac:dyDescent="0.3">
      <c r="A219" s="146"/>
      <c r="B219" s="15" t="s">
        <v>224</v>
      </c>
      <c r="C219" s="15"/>
      <c r="D219" s="15"/>
      <c r="E219" s="15"/>
      <c r="F219" s="158" t="s">
        <v>225</v>
      </c>
      <c r="G219" s="15"/>
      <c r="H219" s="15" t="s">
        <v>226</v>
      </c>
      <c r="I219" s="141"/>
      <c r="J219" s="141"/>
      <c r="K219" s="141"/>
      <c r="L219" s="141"/>
      <c r="M219" s="141"/>
      <c r="N219" s="141"/>
      <c r="O219" s="6"/>
    </row>
    <row r="220" spans="1:15" ht="15.6" x14ac:dyDescent="0.3">
      <c r="A220" s="146"/>
      <c r="B220" s="15"/>
      <c r="C220" s="106"/>
      <c r="D220" s="106"/>
      <c r="E220" s="107"/>
      <c r="F220" s="15"/>
      <c r="G220" s="15"/>
      <c r="H220" s="106"/>
      <c r="I220" s="106"/>
      <c r="J220" s="141"/>
      <c r="K220" s="141"/>
      <c r="L220" s="141"/>
      <c r="M220" s="141"/>
      <c r="N220" s="141"/>
      <c r="O220" s="6"/>
    </row>
    <row r="221" spans="1:15" ht="18" thickBot="1" x14ac:dyDescent="0.35">
      <c r="A221" s="146"/>
      <c r="B221" s="52" t="str">
        <f>B167</f>
        <v>PSF1 INVESTOR REPORT QUARTER ENDING JULY 2005</v>
      </c>
      <c r="C221" s="106"/>
      <c r="D221" s="106"/>
      <c r="E221" s="107"/>
      <c r="F221" s="15"/>
      <c r="G221" s="15"/>
      <c r="H221" s="106"/>
      <c r="I221" s="106"/>
      <c r="J221" s="141"/>
      <c r="K221" s="141"/>
      <c r="L221" s="141"/>
      <c r="M221" s="141"/>
      <c r="N221" s="141"/>
      <c r="O221" s="6"/>
    </row>
    <row r="222" spans="1:15" x14ac:dyDescent="0.25">
      <c r="A222" s="108"/>
      <c r="B222" s="108"/>
      <c r="C222" s="108"/>
      <c r="D222" s="108"/>
      <c r="E222" s="108"/>
      <c r="F222" s="108"/>
      <c r="G222" s="108"/>
      <c r="H222" s="108"/>
      <c r="I222" s="108"/>
      <c r="J222" s="108"/>
      <c r="K222" s="108"/>
      <c r="L222" s="108"/>
      <c r="M222" s="108"/>
      <c r="N222" s="108"/>
    </row>
    <row r="224" spans="1:15" x14ac:dyDescent="0.25">
      <c r="I224" s="117"/>
    </row>
  </sheetData>
  <phoneticPr fontId="0" type="noConversion"/>
  <hyperlinks>
    <hyperlink ref="I10" r:id="rId1" xr:uid="{00000000-0004-0000-0100-000000000000}"/>
    <hyperlink ref="K199" r:id="rId2" xr:uid="{00000000-0004-0000-01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3" max="14" man="1"/>
    <brk id="167" max="14"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40226</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239</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114422.38500000001</v>
      </c>
      <c r="D31" s="35"/>
      <c r="E31" s="34">
        <v>42000</v>
      </c>
      <c r="F31" s="34"/>
      <c r="G31" s="34">
        <v>27000</v>
      </c>
      <c r="H31" s="34"/>
      <c r="I31" s="34"/>
      <c r="J31" s="34"/>
      <c r="K31" s="34"/>
      <c r="L31" s="143"/>
      <c r="M31" s="34">
        <f>C31+E31+G31</f>
        <v>183422.38500000001</v>
      </c>
      <c r="N31" s="37"/>
      <c r="O31" s="6"/>
    </row>
    <row r="32" spans="1:15" ht="15.6" x14ac:dyDescent="0.3">
      <c r="A32" s="30"/>
      <c r="B32" s="31" t="s">
        <v>16</v>
      </c>
      <c r="C32" s="38">
        <f>C30*C33</f>
        <v>107081.57459999999</v>
      </c>
      <c r="D32" s="39"/>
      <c r="E32" s="38">
        <v>42000</v>
      </c>
      <c r="F32" s="38"/>
      <c r="G32" s="38">
        <v>27000</v>
      </c>
      <c r="H32" s="38"/>
      <c r="I32" s="38"/>
      <c r="J32" s="38"/>
      <c r="K32" s="38"/>
      <c r="L32" s="40"/>
      <c r="M32" s="34">
        <f>C32+E32+G32</f>
        <v>176081.57459999999</v>
      </c>
      <c r="N32" s="37"/>
      <c r="O32" s="6"/>
    </row>
    <row r="33" spans="1:15" ht="15.6" x14ac:dyDescent="0.3">
      <c r="A33" s="30"/>
      <c r="B33" s="130" t="s">
        <v>174</v>
      </c>
      <c r="C33" s="134">
        <v>0.46355659999999999</v>
      </c>
      <c r="D33" s="133"/>
      <c r="E33" s="134">
        <v>1</v>
      </c>
      <c r="F33" s="134"/>
      <c r="G33" s="134">
        <v>1</v>
      </c>
      <c r="H33" s="132"/>
      <c r="I33" s="132"/>
      <c r="J33" s="38"/>
      <c r="K33" s="38"/>
      <c r="L33" s="40"/>
      <c r="M33" s="38"/>
      <c r="N33" s="37"/>
      <c r="O33" s="6"/>
    </row>
    <row r="34" spans="1:15" ht="15.6" x14ac:dyDescent="0.3">
      <c r="A34" s="30"/>
      <c r="B34" s="130" t="s">
        <v>175</v>
      </c>
      <c r="C34" s="134">
        <v>0.49533500000000003</v>
      </c>
      <c r="D34" s="133"/>
      <c r="E34" s="134">
        <v>1</v>
      </c>
      <c r="F34" s="134"/>
      <c r="G34" s="134">
        <v>1</v>
      </c>
      <c r="H34" s="132"/>
      <c r="I34" s="132"/>
      <c r="J34" s="38"/>
      <c r="K34" s="38"/>
      <c r="L34" s="40"/>
      <c r="M34" s="38"/>
      <c r="N34" s="37"/>
      <c r="O34" s="6"/>
    </row>
    <row r="35" spans="1:15" ht="15.6" x14ac:dyDescent="0.3">
      <c r="A35" s="26"/>
      <c r="B35" s="27" t="s">
        <v>17</v>
      </c>
      <c r="C35" s="33" t="s">
        <v>164</v>
      </c>
      <c r="D35" s="27"/>
      <c r="E35" s="33" t="s">
        <v>163</v>
      </c>
      <c r="F35" s="33"/>
      <c r="G35" s="33" t="s">
        <v>162</v>
      </c>
      <c r="H35" s="33"/>
      <c r="I35" s="33"/>
      <c r="J35" s="33"/>
      <c r="K35" s="33"/>
      <c r="L35" s="142"/>
      <c r="M35" s="142"/>
      <c r="N35" s="27"/>
      <c r="O35" s="6"/>
    </row>
    <row r="36" spans="1:15" ht="15.6" x14ac:dyDescent="0.3">
      <c r="A36" s="26"/>
      <c r="B36" s="27" t="s">
        <v>18</v>
      </c>
      <c r="C36" s="41">
        <v>1.01406E-2</v>
      </c>
      <c r="D36" s="27"/>
      <c r="E36" s="41">
        <v>2.1140599999999999E-2</v>
      </c>
      <c r="F36" s="42"/>
      <c r="G36" s="41">
        <v>2.61406E-2</v>
      </c>
      <c r="H36" s="42"/>
      <c r="I36" s="41"/>
      <c r="J36" s="42"/>
      <c r="K36" s="41"/>
      <c r="L36" s="142"/>
      <c r="M36" s="42">
        <f>SUMPRODUCT(C36:G36,C31:G31)/M31</f>
        <v>1.5014596159192893E-2</v>
      </c>
      <c r="N36" s="27"/>
      <c r="O36" s="6"/>
    </row>
    <row r="37" spans="1:15" ht="15.6" x14ac:dyDescent="0.3">
      <c r="A37" s="26"/>
      <c r="B37" s="27" t="s">
        <v>19</v>
      </c>
      <c r="C37" s="41">
        <v>9.5750000000000002E-3</v>
      </c>
      <c r="D37" s="27"/>
      <c r="E37" s="41">
        <v>1.5075E-2</v>
      </c>
      <c r="F37" s="42"/>
      <c r="G37" s="41">
        <v>1.7575E-2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0.64436855974286356</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40224</v>
      </c>
      <c r="N47" s="27"/>
      <c r="O47" s="6"/>
    </row>
    <row r="48" spans="1:15" ht="15.6" x14ac:dyDescent="0.3">
      <c r="A48" s="26"/>
      <c r="B48" s="27" t="s">
        <v>26</v>
      </c>
      <c r="C48" s="27"/>
      <c r="D48" s="27"/>
      <c r="E48" s="27"/>
      <c r="F48" s="27"/>
      <c r="G48" s="27"/>
      <c r="H48" s="27"/>
      <c r="I48" s="27"/>
      <c r="J48" s="27">
        <f>M48-K48+1</f>
        <v>91</v>
      </c>
      <c r="K48" s="48">
        <v>40042</v>
      </c>
      <c r="L48" s="49"/>
      <c r="M48" s="48">
        <v>40132</v>
      </c>
      <c r="N48" s="27"/>
      <c r="O48" s="6"/>
    </row>
    <row r="49" spans="1:15" ht="15.6" x14ac:dyDescent="0.3">
      <c r="A49" s="26"/>
      <c r="B49" s="27" t="s">
        <v>27</v>
      </c>
      <c r="C49" s="27"/>
      <c r="D49" s="27"/>
      <c r="E49" s="27"/>
      <c r="F49" s="27"/>
      <c r="G49" s="27"/>
      <c r="H49" s="27"/>
      <c r="I49" s="27"/>
      <c r="J49" s="27">
        <f>M49-K49+1</f>
        <v>91</v>
      </c>
      <c r="K49" s="48">
        <v>40133</v>
      </c>
      <c r="L49" s="49"/>
      <c r="M49" s="48">
        <v>40223</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40210</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243</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183422</v>
      </c>
      <c r="F59" s="37"/>
      <c r="G59" s="37">
        <f>5756+111+1585-1</f>
        <v>7451</v>
      </c>
      <c r="H59" s="37"/>
      <c r="I59" s="37">
        <v>111</v>
      </c>
      <c r="J59" s="37"/>
      <c r="K59" s="37">
        <v>0</v>
      </c>
      <c r="L59" s="37"/>
      <c r="M59" s="56">
        <f>E59-G59+I59-K59</f>
        <v>176082</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183422</v>
      </c>
      <c r="F63" s="37"/>
      <c r="G63" s="37">
        <f>SUM(G59:G62)</f>
        <v>7451</v>
      </c>
      <c r="H63" s="37"/>
      <c r="I63" s="37">
        <f>SUM(I59:I62)</f>
        <v>111</v>
      </c>
      <c r="J63" s="37"/>
      <c r="K63" s="37">
        <f>SUM(K59:K62)</f>
        <v>0</v>
      </c>
      <c r="L63" s="37"/>
      <c r="M63" s="57">
        <f>SUM(M59:M62)</f>
        <v>176082</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0</v>
      </c>
      <c r="F74" s="37"/>
      <c r="G74" s="37"/>
      <c r="H74" s="37"/>
      <c r="I74" s="37"/>
      <c r="J74" s="37"/>
      <c r="K74" s="37"/>
      <c r="L74" s="37"/>
      <c r="M74" s="57">
        <f>K112-M73</f>
        <v>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183422</v>
      </c>
      <c r="F76" s="37"/>
      <c r="G76" s="57"/>
      <c r="H76" s="37"/>
      <c r="I76" s="57"/>
      <c r="J76" s="37"/>
      <c r="K76" s="57"/>
      <c r="L76" s="37"/>
      <c r="M76" s="57">
        <f>SUM(M63:M75)</f>
        <v>176082</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40207</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+'Oct 2008'!K112</f>
        <v>0</v>
      </c>
      <c r="L80" s="27"/>
      <c r="M80" s="56">
        <v>0</v>
      </c>
      <c r="N80" s="27"/>
      <c r="O80" s="6"/>
    </row>
    <row r="81" spans="1:16" ht="15.6" x14ac:dyDescent="0.3">
      <c r="A81" s="26"/>
      <c r="B81" s="27" t="s">
        <v>42</v>
      </c>
      <c r="C81" s="43" t="s">
        <v>207</v>
      </c>
      <c r="D81" s="60" t="s">
        <v>207</v>
      </c>
      <c r="E81" s="61"/>
      <c r="F81" s="27"/>
      <c r="G81" s="27"/>
      <c r="H81" s="27"/>
      <c r="I81" s="27"/>
      <c r="J81" s="27"/>
      <c r="K81" s="37">
        <f>7451-1585</f>
        <v>5866</v>
      </c>
      <c r="L81" s="27"/>
      <c r="M81" s="56"/>
      <c r="N81" s="27"/>
      <c r="O81" s="6"/>
    </row>
    <row r="82" spans="1:16" ht="15.6" x14ac:dyDescent="0.3">
      <c r="A82" s="26"/>
      <c r="B82" s="27" t="s">
        <v>204</v>
      </c>
      <c r="C82" s="43"/>
      <c r="D82" s="60"/>
      <c r="E82" s="61"/>
      <c r="F82" s="27"/>
      <c r="G82" s="27"/>
      <c r="H82" s="27"/>
      <c r="I82" s="27"/>
      <c r="J82" s="27"/>
      <c r="K82" s="37"/>
      <c r="L82" s="27"/>
      <c r="M82" s="56">
        <f>6522+24-2309</f>
        <v>4237</v>
      </c>
      <c r="N82" s="27"/>
      <c r="O82" s="6"/>
    </row>
    <row r="83" spans="1:16" ht="15.6" x14ac:dyDescent="0.3">
      <c r="A83" s="26"/>
      <c r="B83" s="27" t="s">
        <v>205</v>
      </c>
      <c r="C83" s="43"/>
      <c r="D83" s="60"/>
      <c r="E83" s="61"/>
      <c r="F83" s="27"/>
      <c r="G83" s="27"/>
      <c r="H83" s="27"/>
      <c r="I83" s="27"/>
      <c r="J83" s="27"/>
      <c r="K83" s="37"/>
      <c r="L83" s="27"/>
      <c r="M83" s="56">
        <v>292</v>
      </c>
      <c r="N83" s="27"/>
      <c r="O83" s="6"/>
    </row>
    <row r="84" spans="1:16" ht="15.6" x14ac:dyDescent="0.3">
      <c r="A84" s="26"/>
      <c r="B84" s="27" t="s">
        <v>206</v>
      </c>
      <c r="C84" s="43"/>
      <c r="D84" s="60"/>
      <c r="E84" s="61"/>
      <c r="F84" s="27"/>
      <c r="G84" s="27"/>
      <c r="H84" s="27"/>
      <c r="I84" s="27"/>
      <c r="J84" s="27"/>
      <c r="K84" s="37"/>
      <c r="L84" s="27"/>
      <c r="M84" s="56">
        <v>32</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5866</v>
      </c>
      <c r="L86" s="27"/>
      <c r="M86" s="57">
        <f>SUM(M80:M85)</f>
        <v>4561</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5866</v>
      </c>
      <c r="L88" s="27"/>
      <c r="M88" s="57">
        <f>M86+M87</f>
        <v>4561</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0</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-70-56-2</f>
        <v>-128</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-289</v>
      </c>
      <c r="N94" s="27"/>
      <c r="O94" s="6"/>
    </row>
    <row r="95" spans="1:16" ht="15.6" x14ac:dyDescent="0.3">
      <c r="A95" s="26">
        <v>5</v>
      </c>
      <c r="B95" s="27" t="s">
        <v>52</v>
      </c>
      <c r="C95" s="27"/>
      <c r="D95" s="27"/>
      <c r="E95" s="27"/>
      <c r="F95" s="27"/>
      <c r="G95" s="27"/>
      <c r="H95" s="27"/>
      <c r="I95" s="27"/>
      <c r="J95" s="27"/>
      <c r="K95" s="27"/>
      <c r="L95" s="27"/>
      <c r="M95" s="56">
        <v>-221</v>
      </c>
      <c r="N95" s="27"/>
      <c r="O95" s="6"/>
    </row>
    <row r="96" spans="1:16" ht="15.6" x14ac:dyDescent="0.3">
      <c r="A96" s="26">
        <v>6</v>
      </c>
      <c r="B96" s="27" t="s">
        <v>172</v>
      </c>
      <c r="C96" s="27"/>
      <c r="D96" s="27"/>
      <c r="E96" s="27"/>
      <c r="F96" s="27"/>
      <c r="G96" s="27"/>
      <c r="H96" s="27"/>
      <c r="I96" s="27"/>
      <c r="J96" s="27"/>
      <c r="K96" s="27"/>
      <c r="L96" s="27"/>
      <c r="M96" s="56">
        <v>-176</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1585</v>
      </c>
      <c r="L98" s="27"/>
      <c r="M98" s="56">
        <v>-1585</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-69</v>
      </c>
      <c r="N102" s="27"/>
      <c r="O102" s="6"/>
    </row>
    <row r="103" spans="1:16" ht="15.6" x14ac:dyDescent="0.3">
      <c r="A103" s="26">
        <v>13</v>
      </c>
      <c r="B103" s="27" t="s">
        <v>195</v>
      </c>
      <c r="C103" s="27"/>
      <c r="D103" s="27"/>
      <c r="E103" s="27"/>
      <c r="F103" s="27"/>
      <c r="G103" s="27"/>
      <c r="H103" s="27"/>
      <c r="I103" s="27"/>
      <c r="J103" s="27"/>
      <c r="K103" s="27"/>
      <c r="L103" s="27"/>
      <c r="M103" s="56">
        <f>-M88-SUM(M90:M102)</f>
        <v>-2086</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-111</v>
      </c>
      <c r="L106" s="37"/>
      <c r="M106" s="56"/>
      <c r="N106" s="27"/>
      <c r="O106" s="6"/>
      <c r="P106" s="117"/>
    </row>
    <row r="107" spans="1:16" ht="15.6" x14ac:dyDescent="0.3">
      <c r="A107" s="26"/>
      <c r="B107" s="27" t="s">
        <v>187</v>
      </c>
      <c r="C107" s="27"/>
      <c r="D107" s="27"/>
      <c r="E107" s="27"/>
      <c r="F107" s="27"/>
      <c r="G107" s="27"/>
      <c r="H107" s="27"/>
      <c r="I107" s="27"/>
      <c r="J107" s="27"/>
      <c r="K107" s="37">
        <v>0</v>
      </c>
      <c r="L107" s="37"/>
      <c r="M107" s="56"/>
      <c r="N107" s="27"/>
      <c r="O107" s="6"/>
    </row>
    <row r="108" spans="1:16" ht="15.6" x14ac:dyDescent="0.3">
      <c r="A108" s="26"/>
      <c r="B108" s="27" t="s">
        <v>185</v>
      </c>
      <c r="C108" s="27"/>
      <c r="D108" s="27"/>
      <c r="E108" s="27"/>
      <c r="F108" s="27"/>
      <c r="G108" s="27"/>
      <c r="H108" s="27"/>
      <c r="I108" s="27"/>
      <c r="J108" s="27"/>
      <c r="K108" s="37">
        <v>-7340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+K106+K107+K108</f>
        <v>-7451</v>
      </c>
      <c r="L111" s="37"/>
      <c r="M111" s="37">
        <f>SUM(M89:M110)</f>
        <v>-4561</v>
      </c>
      <c r="N111" s="27"/>
      <c r="O111" s="6"/>
    </row>
    <row r="112" spans="1:16" ht="15.6" x14ac:dyDescent="0.3">
      <c r="A112" s="26"/>
      <c r="B112" s="27" t="s">
        <v>61</v>
      </c>
      <c r="C112" s="27"/>
      <c r="D112" s="27"/>
      <c r="E112" s="27"/>
      <c r="F112" s="27"/>
      <c r="G112" s="27"/>
      <c r="H112" s="27"/>
      <c r="I112" s="27"/>
      <c r="J112" s="27"/>
      <c r="K112" s="37">
        <f>K88+K111+K98</f>
        <v>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JANUARY 2010</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246</v>
      </c>
      <c r="N138" s="27"/>
      <c r="O138" s="6"/>
    </row>
    <row r="139" spans="1:15" ht="15.6" x14ac:dyDescent="0.3">
      <c r="A139" s="26"/>
      <c r="B139" s="27" t="s">
        <v>180</v>
      </c>
      <c r="C139" s="27"/>
      <c r="D139" s="27"/>
      <c r="E139" s="27"/>
      <c r="F139" s="27"/>
      <c r="G139" s="27"/>
      <c r="H139" s="27"/>
      <c r="I139" s="27"/>
      <c r="J139" s="27"/>
      <c r="K139" s="27"/>
      <c r="L139" s="27"/>
      <c r="M139" s="56">
        <f>828+511</f>
        <v>1339</v>
      </c>
      <c r="N139" s="27"/>
      <c r="O139" s="6"/>
    </row>
    <row r="140" spans="1:15" ht="15.6" x14ac:dyDescent="0.3">
      <c r="A140" s="26"/>
      <c r="B140" s="27" t="s">
        <v>77</v>
      </c>
      <c r="C140" s="27"/>
      <c r="D140" s="27"/>
      <c r="E140" s="27"/>
      <c r="F140" s="27"/>
      <c r="G140" s="27"/>
      <c r="H140" s="27"/>
      <c r="I140" s="27"/>
      <c r="J140" s="27"/>
      <c r="K140" s="27"/>
      <c r="L140" s="27"/>
      <c r="M140" s="56">
        <f>M138+M137+M139</f>
        <v>1585</v>
      </c>
      <c r="N140" s="27"/>
      <c r="O140" s="6"/>
    </row>
    <row r="141" spans="1:15" ht="15.6" x14ac:dyDescent="0.3">
      <c r="A141" s="26"/>
      <c r="B141" s="27" t="s">
        <v>183</v>
      </c>
      <c r="C141" s="27"/>
      <c r="D141" s="27"/>
      <c r="E141" s="27"/>
      <c r="F141" s="27"/>
      <c r="G141" s="27"/>
      <c r="H141" s="27"/>
      <c r="I141" s="70"/>
      <c r="J141" s="27"/>
      <c r="K141" s="27"/>
      <c r="L141" s="27"/>
      <c r="M141" s="56">
        <f>M98</f>
        <v>-1585</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176082</v>
      </c>
      <c r="N147" s="27"/>
      <c r="O147" s="6"/>
      <c r="P147" s="117"/>
    </row>
    <row r="148" spans="1:16" ht="15.6" x14ac:dyDescent="0.3">
      <c r="A148" s="26"/>
      <c r="B148" s="27" t="s">
        <v>80</v>
      </c>
      <c r="C148" s="71"/>
      <c r="D148" s="71"/>
      <c r="E148" s="27"/>
      <c r="F148" s="27"/>
      <c r="G148" s="27"/>
      <c r="H148" s="27"/>
      <c r="I148" s="27"/>
      <c r="J148" s="27"/>
      <c r="K148" s="27"/>
      <c r="L148" s="27"/>
      <c r="M148" s="56">
        <f>M76</f>
        <v>176082</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+'Oct 2009'!I155</f>
        <v>7336</v>
      </c>
      <c r="J153" s="27"/>
      <c r="K153" s="56">
        <v>0</v>
      </c>
      <c r="L153" s="27"/>
      <c r="M153" s="56">
        <f>K153+I153</f>
        <v>7336</v>
      </c>
      <c r="N153" s="27"/>
      <c r="O153" s="6"/>
    </row>
    <row r="154" spans="1:16" ht="15.6" x14ac:dyDescent="0.3">
      <c r="A154" s="26"/>
      <c r="B154" s="27" t="s">
        <v>84</v>
      </c>
      <c r="C154" s="27"/>
      <c r="D154" s="27"/>
      <c r="E154" s="27"/>
      <c r="F154" s="27"/>
      <c r="G154" s="27"/>
      <c r="H154" s="27"/>
      <c r="I154" s="37">
        <v>111</v>
      </c>
      <c r="J154" s="27"/>
      <c r="K154" s="27">
        <v>0</v>
      </c>
      <c r="L154" s="27"/>
      <c r="M154" s="56">
        <f>K154+I154</f>
        <v>111</v>
      </c>
      <c r="N154" s="27"/>
      <c r="O154" s="6"/>
    </row>
    <row r="155" spans="1:16" ht="15.6" x14ac:dyDescent="0.3">
      <c r="A155" s="26"/>
      <c r="B155" s="27" t="s">
        <v>85</v>
      </c>
      <c r="C155" s="27"/>
      <c r="D155" s="27"/>
      <c r="E155" s="27"/>
      <c r="F155" s="27"/>
      <c r="G155" s="27"/>
      <c r="H155" s="27"/>
      <c r="I155" s="56">
        <f>I153+I154</f>
        <v>7447</v>
      </c>
      <c r="J155" s="27"/>
      <c r="K155" s="56">
        <f>K154+K153</f>
        <v>0</v>
      </c>
      <c r="L155" s="27"/>
      <c r="M155" s="56">
        <f>K155+I155</f>
        <v>7447</v>
      </c>
      <c r="N155" s="27"/>
      <c r="O155" s="6"/>
    </row>
    <row r="156" spans="1:16" ht="15.6" x14ac:dyDescent="0.3">
      <c r="A156" s="26"/>
      <c r="B156" s="27" t="s">
        <v>86</v>
      </c>
      <c r="C156" s="27"/>
      <c r="D156" s="27"/>
      <c r="E156" s="27"/>
      <c r="F156" s="27"/>
      <c r="G156" s="27"/>
      <c r="H156" s="27"/>
      <c r="I156" s="56">
        <f>I152-I155-K155</f>
        <v>7553</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15.332179930795848</v>
      </c>
      <c r="N160" s="27" t="s">
        <v>145</v>
      </c>
      <c r="O160" s="6"/>
    </row>
    <row r="161" spans="1:15" ht="15.6" x14ac:dyDescent="0.3">
      <c r="A161" s="26"/>
      <c r="B161" s="27" t="s">
        <v>89</v>
      </c>
      <c r="C161" s="27"/>
      <c r="D161" s="27"/>
      <c r="E161" s="27"/>
      <c r="F161" s="27"/>
      <c r="G161" s="27"/>
      <c r="H161" s="27"/>
      <c r="I161" s="27"/>
      <c r="J161" s="27"/>
      <c r="K161" s="27"/>
      <c r="L161" s="27"/>
      <c r="M161" s="73">
        <v>2.74</v>
      </c>
      <c r="N161" s="27" t="s">
        <v>145</v>
      </c>
      <c r="O161" s="6"/>
    </row>
    <row r="162" spans="1:15" ht="15.6" x14ac:dyDescent="0.3">
      <c r="A162" s="26"/>
      <c r="B162" s="27" t="s">
        <v>90</v>
      </c>
      <c r="C162" s="27"/>
      <c r="D162" s="27"/>
      <c r="E162" s="27"/>
      <c r="F162" s="27"/>
      <c r="G162" s="27"/>
      <c r="H162" s="27"/>
      <c r="I162" s="27"/>
      <c r="J162" s="27"/>
      <c r="K162" s="27"/>
      <c r="L162" s="27"/>
      <c r="M162" s="63">
        <f>(M88+M90+M91+M92+M93+M94)/-M95</f>
        <v>18.742081447963802</v>
      </c>
      <c r="N162" s="27" t="s">
        <v>145</v>
      </c>
      <c r="O162" s="6"/>
    </row>
    <row r="163" spans="1:15" ht="15.6" x14ac:dyDescent="0.3">
      <c r="A163" s="26"/>
      <c r="B163" s="27" t="s">
        <v>91</v>
      </c>
      <c r="C163" s="27"/>
      <c r="D163" s="27"/>
      <c r="E163" s="27"/>
      <c r="F163" s="27"/>
      <c r="G163" s="27"/>
      <c r="H163" s="27"/>
      <c r="I163" s="27"/>
      <c r="J163" s="27"/>
      <c r="K163" s="27"/>
      <c r="L163" s="27"/>
      <c r="M163" s="74">
        <v>8.16</v>
      </c>
      <c r="N163" s="27" t="s">
        <v>145</v>
      </c>
      <c r="O163" s="6"/>
    </row>
    <row r="164" spans="1:15" ht="15.6" x14ac:dyDescent="0.3">
      <c r="A164" s="26"/>
      <c r="B164" s="27" t="s">
        <v>181</v>
      </c>
      <c r="C164" s="27"/>
      <c r="D164" s="27"/>
      <c r="E164" s="27"/>
      <c r="F164" s="27"/>
      <c r="G164" s="27"/>
      <c r="H164" s="27"/>
      <c r="I164" s="27"/>
      <c r="J164" s="27"/>
      <c r="K164" s="27"/>
      <c r="L164" s="27"/>
      <c r="M164" s="63">
        <f>(M88+M90+M91+M92+M93+M94+M95)/-M96</f>
        <v>22.27840909090909</v>
      </c>
      <c r="N164" s="27" t="s">
        <v>145</v>
      </c>
      <c r="O164" s="6"/>
    </row>
    <row r="165" spans="1:15" ht="15.6" x14ac:dyDescent="0.3">
      <c r="A165" s="26"/>
      <c r="B165" s="27" t="s">
        <v>182</v>
      </c>
      <c r="C165" s="27"/>
      <c r="D165" s="27"/>
      <c r="E165" s="27"/>
      <c r="F165" s="27"/>
      <c r="G165" s="27"/>
      <c r="H165" s="27"/>
      <c r="I165" s="27"/>
      <c r="J165" s="27"/>
      <c r="K165" s="27"/>
      <c r="L165" s="27"/>
      <c r="M165" s="74">
        <v>10.61</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JANUARY 2010</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40207</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9.5399999999999999E-2</v>
      </c>
      <c r="L175" s="27"/>
      <c r="M175" s="27"/>
      <c r="N175" s="27"/>
      <c r="O175" s="6"/>
    </row>
    <row r="176" spans="1:15" ht="15.6" x14ac:dyDescent="0.3">
      <c r="A176" s="83"/>
      <c r="B176" s="84" t="s">
        <v>97</v>
      </c>
      <c r="C176" s="85"/>
      <c r="D176" s="85"/>
      <c r="E176" s="85"/>
      <c r="F176" s="85"/>
      <c r="G176" s="85"/>
      <c r="H176" s="70"/>
      <c r="I176" s="70"/>
      <c r="J176" s="70"/>
      <c r="K176" s="86">
        <f>M36</f>
        <v>1.5014596159192893E-2</v>
      </c>
      <c r="L176" s="27"/>
      <c r="M176" s="27"/>
      <c r="N176" s="27"/>
      <c r="O176" s="6"/>
    </row>
    <row r="177" spans="1:15" ht="15.6" x14ac:dyDescent="0.3">
      <c r="A177" s="83"/>
      <c r="B177" s="84" t="s">
        <v>98</v>
      </c>
      <c r="C177" s="85"/>
      <c r="D177" s="85"/>
      <c r="E177" s="85"/>
      <c r="F177" s="85"/>
      <c r="G177" s="85"/>
      <c r="H177" s="70"/>
      <c r="I177" s="70"/>
      <c r="J177" s="70"/>
      <c r="K177" s="86">
        <f>K175-K176</f>
        <v>8.0385403840807113E-2</v>
      </c>
      <c r="L177" s="27"/>
      <c r="M177" s="27"/>
      <c r="N177" s="27"/>
      <c r="O177" s="6"/>
    </row>
    <row r="178" spans="1:15" ht="15.6" x14ac:dyDescent="0.3">
      <c r="A178" s="83"/>
      <c r="B178" s="84" t="s">
        <v>211</v>
      </c>
      <c r="C178" s="85"/>
      <c r="D178" s="85"/>
      <c r="E178" s="85"/>
      <c r="F178" s="85"/>
      <c r="G178" s="85"/>
      <c r="H178" s="70"/>
      <c r="I178" s="70"/>
      <c r="J178" s="70"/>
      <c r="K178" s="86">
        <f>(+M88+M90)/E59</f>
        <v>2.4866155641089946E-2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14.3</v>
      </c>
      <c r="L183" s="27" t="s">
        <v>139</v>
      </c>
      <c r="M183" s="27"/>
      <c r="N183" s="27"/>
      <c r="O183" s="6"/>
    </row>
    <row r="184" spans="1:15" ht="15.6" x14ac:dyDescent="0.3">
      <c r="A184" s="83"/>
      <c r="B184" s="84" t="s">
        <v>103</v>
      </c>
      <c r="C184" s="85"/>
      <c r="D184" s="85"/>
      <c r="E184" s="85"/>
      <c r="F184" s="85"/>
      <c r="G184" s="85"/>
      <c r="H184" s="70"/>
      <c r="I184" s="70"/>
      <c r="J184" s="70"/>
      <c r="K184" s="138">
        <f>K81/E59</f>
        <v>3.1980896511868806E-2</v>
      </c>
      <c r="L184" s="27"/>
      <c r="M184" s="27"/>
      <c r="N184" s="27"/>
      <c r="O184" s="6"/>
    </row>
    <row r="185" spans="1:15" ht="15.6" x14ac:dyDescent="0.3">
      <c r="A185" s="83"/>
      <c r="B185" s="84" t="s">
        <v>104</v>
      </c>
      <c r="C185" s="85"/>
      <c r="D185" s="85"/>
      <c r="E185" s="85"/>
      <c r="F185" s="85"/>
      <c r="G185" s="85"/>
      <c r="H185" s="70"/>
      <c r="I185" s="70"/>
      <c r="J185" s="70"/>
      <c r="K185" s="86">
        <v>0.31440000000000001</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159">
        <v>1012</v>
      </c>
      <c r="K188" s="93">
        <v>28291</v>
      </c>
      <c r="L188" s="27"/>
      <c r="M188" s="160"/>
      <c r="N188" s="94"/>
      <c r="O188" s="6"/>
    </row>
    <row r="189" spans="1:15" ht="15.6" x14ac:dyDescent="0.3">
      <c r="A189" s="92"/>
      <c r="B189" s="84" t="s">
        <v>196</v>
      </c>
      <c r="C189" s="57"/>
      <c r="D189" s="57"/>
      <c r="E189" s="57"/>
      <c r="F189" s="57"/>
      <c r="G189" s="27"/>
      <c r="H189" s="27"/>
      <c r="I189" s="27"/>
      <c r="J189" s="33">
        <v>5</v>
      </c>
      <c r="K189" s="93">
        <v>181</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240</v>
      </c>
      <c r="C191" s="57"/>
      <c r="D191" s="57"/>
      <c r="E191" s="57"/>
      <c r="F191" s="57"/>
      <c r="G191" s="27"/>
      <c r="H191" s="27"/>
      <c r="I191" s="27"/>
      <c r="J191" s="27"/>
      <c r="K191" s="93">
        <f>+I59</f>
        <v>111</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1585</v>
      </c>
      <c r="L193" s="27"/>
      <c r="M193" s="87"/>
      <c r="N193" s="96"/>
      <c r="O193" s="6"/>
    </row>
    <row r="194" spans="1:15" ht="15.6" x14ac:dyDescent="0.3">
      <c r="A194" s="92"/>
      <c r="B194" s="84" t="s">
        <v>111</v>
      </c>
      <c r="C194" s="57"/>
      <c r="D194" s="57"/>
      <c r="E194" s="57"/>
      <c r="F194" s="57"/>
      <c r="G194" s="57"/>
      <c r="H194" s="27"/>
      <c r="I194" s="27"/>
      <c r="J194" s="27"/>
      <c r="K194" s="93">
        <f>'Oct 2009'!K194+'Jan 2010'!K193</f>
        <v>19501</v>
      </c>
      <c r="L194" s="27"/>
      <c r="M194" s="87"/>
      <c r="N194" s="96"/>
      <c r="O194" s="6"/>
    </row>
    <row r="195" spans="1:15" ht="15.6" x14ac:dyDescent="0.3">
      <c r="A195" s="92"/>
      <c r="B195" s="84" t="s">
        <v>112</v>
      </c>
      <c r="C195" s="57"/>
      <c r="D195" s="57"/>
      <c r="E195" s="57"/>
      <c r="F195" s="57"/>
      <c r="G195" s="57"/>
      <c r="H195" s="27"/>
      <c r="I195" s="27"/>
      <c r="J195" s="27"/>
      <c r="K195" s="157">
        <f>+'Oct 2009'!K195+174</f>
        <v>5462</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5</v>
      </c>
      <c r="L197" s="27"/>
      <c r="M197" s="87"/>
      <c r="N197" s="96"/>
      <c r="O197" s="6"/>
    </row>
    <row r="198" spans="1:15" ht="15.6" x14ac:dyDescent="0.3">
      <c r="A198" s="92"/>
      <c r="B198" s="84" t="s">
        <v>113</v>
      </c>
      <c r="C198" s="57"/>
      <c r="D198" s="57"/>
      <c r="E198" s="97"/>
      <c r="F198" s="97"/>
      <c r="G198" s="98"/>
      <c r="H198" s="27"/>
      <c r="I198" s="27"/>
      <c r="J198" s="27"/>
      <c r="K198" s="68">
        <v>12.52</v>
      </c>
      <c r="L198" s="27"/>
      <c r="M198" s="87"/>
      <c r="N198" s="96"/>
      <c r="O198" s="6"/>
    </row>
    <row r="199" spans="1:15" ht="15.6" x14ac:dyDescent="0.3">
      <c r="A199" s="92"/>
      <c r="B199" s="84" t="s">
        <v>114</v>
      </c>
      <c r="C199" s="57"/>
      <c r="D199" s="57"/>
      <c r="E199" s="97"/>
      <c r="F199" s="97"/>
      <c r="G199" s="98"/>
      <c r="H199" s="27"/>
      <c r="I199" s="27"/>
      <c r="J199" s="27"/>
      <c r="K199" s="68">
        <v>8.58</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6089</v>
      </c>
      <c r="J204" s="103">
        <f>I204/I213</f>
        <v>0.85748486128714263</v>
      </c>
      <c r="K204" s="56">
        <v>147791</v>
      </c>
      <c r="L204" s="136">
        <f>K204/K213</f>
        <v>0.83933053918060907</v>
      </c>
      <c r="M204" s="87"/>
      <c r="N204" s="96"/>
      <c r="O204" s="6"/>
    </row>
    <row r="205" spans="1:15" ht="15.6" x14ac:dyDescent="0.3">
      <c r="A205" s="26"/>
      <c r="B205" s="57" t="s">
        <v>117</v>
      </c>
      <c r="C205" s="102"/>
      <c r="D205" s="102"/>
      <c r="E205" s="57"/>
      <c r="F205" s="102"/>
      <c r="G205" s="27"/>
      <c r="H205" s="103"/>
      <c r="I205" s="57">
        <v>312</v>
      </c>
      <c r="J205" s="103">
        <f>I205/I213</f>
        <v>4.393747359526827E-2</v>
      </c>
      <c r="K205" s="56">
        <v>8309</v>
      </c>
      <c r="L205" s="136">
        <f>K205/K213</f>
        <v>4.7188241841869129E-2</v>
      </c>
      <c r="M205" s="87"/>
      <c r="N205" s="96"/>
      <c r="O205" s="6"/>
    </row>
    <row r="206" spans="1:15" ht="15.6" x14ac:dyDescent="0.3">
      <c r="A206" s="26"/>
      <c r="B206" s="57" t="s">
        <v>118</v>
      </c>
      <c r="C206" s="102"/>
      <c r="D206" s="102"/>
      <c r="E206" s="57"/>
      <c r="F206" s="102"/>
      <c r="G206" s="27"/>
      <c r="H206" s="103"/>
      <c r="I206" s="57">
        <v>166</v>
      </c>
      <c r="J206" s="103">
        <f>I206/I213</f>
        <v>2.3376989156456838E-2</v>
      </c>
      <c r="K206" s="56">
        <v>4559</v>
      </c>
      <c r="L206" s="136">
        <f>K206/K213</f>
        <v>2.5891346077395759E-2</v>
      </c>
      <c r="M206" s="87"/>
      <c r="N206" s="94"/>
      <c r="O206" s="6"/>
    </row>
    <row r="207" spans="1:15" ht="15.6" x14ac:dyDescent="0.3">
      <c r="A207" s="26"/>
      <c r="B207" s="57" t="s">
        <v>167</v>
      </c>
      <c r="C207" s="102"/>
      <c r="D207" s="102"/>
      <c r="E207" s="57"/>
      <c r="F207" s="102"/>
      <c r="G207" s="27"/>
      <c r="H207" s="103"/>
      <c r="I207" s="57">
        <v>128</v>
      </c>
      <c r="J207" s="103">
        <f>I207/I213</f>
        <v>1.8025630192930572E-2</v>
      </c>
      <c r="K207" s="56">
        <v>3728</v>
      </c>
      <c r="L207" s="136">
        <f>K207/K213</f>
        <v>2.117195397598846E-2</v>
      </c>
      <c r="M207" s="87"/>
      <c r="N207" s="96"/>
      <c r="O207" s="6"/>
    </row>
    <row r="208" spans="1:15" ht="15.6" x14ac:dyDescent="0.3">
      <c r="A208" s="26"/>
      <c r="B208" s="57" t="s">
        <v>168</v>
      </c>
      <c r="C208" s="102"/>
      <c r="D208" s="102"/>
      <c r="E208" s="57"/>
      <c r="F208" s="102"/>
      <c r="G208" s="27"/>
      <c r="H208" s="103"/>
      <c r="I208" s="57">
        <v>100</v>
      </c>
      <c r="J208" s="103">
        <f>I208/I213</f>
        <v>1.408252358822701E-2</v>
      </c>
      <c r="K208" s="56">
        <v>2798</v>
      </c>
      <c r="L208" s="136">
        <f>K208/K213</f>
        <v>1.5890323826399065E-2</v>
      </c>
      <c r="M208" s="87"/>
      <c r="N208" s="96"/>
      <c r="O208" s="6"/>
    </row>
    <row r="209" spans="1:15" ht="15.6" x14ac:dyDescent="0.3">
      <c r="A209" s="26"/>
      <c r="B209" s="57" t="s">
        <v>169</v>
      </c>
      <c r="C209" s="102"/>
      <c r="D209" s="102"/>
      <c r="E209" s="57"/>
      <c r="F209" s="102"/>
      <c r="G209" s="27"/>
      <c r="H209" s="103"/>
      <c r="I209" s="57">
        <v>74</v>
      </c>
      <c r="J209" s="103">
        <f>I209/I213</f>
        <v>1.0421067455287987E-2</v>
      </c>
      <c r="K209" s="56">
        <v>2155</v>
      </c>
      <c r="L209" s="136">
        <f>K209/K213</f>
        <v>1.2238616099317364E-2</v>
      </c>
      <c r="M209" s="87"/>
      <c r="N209" s="96"/>
      <c r="O209" s="6"/>
    </row>
    <row r="210" spans="1:15" ht="15.6" x14ac:dyDescent="0.3">
      <c r="A210" s="26"/>
      <c r="B210" s="57" t="s">
        <v>176</v>
      </c>
      <c r="C210" s="102"/>
      <c r="D210" s="102"/>
      <c r="E210" s="57"/>
      <c r="F210" s="102"/>
      <c r="G210" s="27"/>
      <c r="H210" s="103"/>
      <c r="I210" s="57">
        <v>156</v>
      </c>
      <c r="J210" s="103">
        <f>I210/I213</f>
        <v>2.1968736797634135E-2</v>
      </c>
      <c r="K210" s="56">
        <v>4744</v>
      </c>
      <c r="L210" s="136">
        <f>K210/K213</f>
        <v>2.6941992935109779E-2</v>
      </c>
      <c r="M210" s="87"/>
      <c r="N210" s="94"/>
      <c r="O210" s="6"/>
    </row>
    <row r="211" spans="1:15" ht="15.6" x14ac:dyDescent="0.3">
      <c r="A211" s="26"/>
      <c r="B211" s="57" t="s">
        <v>202</v>
      </c>
      <c r="C211" s="102"/>
      <c r="D211" s="102"/>
      <c r="E211" s="57"/>
      <c r="F211" s="102"/>
      <c r="G211" s="27"/>
      <c r="H211" s="103"/>
      <c r="I211" s="57">
        <v>76</v>
      </c>
      <c r="J211" s="103">
        <f>+I211/I213</f>
        <v>1.0702717927052527E-2</v>
      </c>
      <c r="K211" s="56">
        <v>1998</v>
      </c>
      <c r="L211" s="136">
        <f>+K211/K213</f>
        <v>1.1346986063311412E-2</v>
      </c>
      <c r="M211" s="87"/>
      <c r="N211" s="94"/>
      <c r="O211" s="6"/>
    </row>
    <row r="212" spans="1:15" ht="15.6" x14ac:dyDescent="0.3">
      <c r="A212" s="26"/>
      <c r="B212" s="57" t="s">
        <v>170</v>
      </c>
      <c r="C212" s="102"/>
      <c r="D212" s="102"/>
      <c r="E212" s="57"/>
      <c r="F212" s="102"/>
      <c r="G212" s="3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37"/>
      <c r="H213" s="27"/>
      <c r="I213" s="37">
        <f>SUM(I204:I212)</f>
        <v>7101</v>
      </c>
      <c r="J213" s="136">
        <f>SUM(J204:J212)</f>
        <v>1</v>
      </c>
      <c r="K213" s="56">
        <f>SUM(K204:K212)</f>
        <v>176082</v>
      </c>
      <c r="L213" s="136">
        <f>SUM(L204:L212)</f>
        <v>1</v>
      </c>
      <c r="M213" s="27"/>
      <c r="N213" s="27"/>
      <c r="O213" s="6"/>
    </row>
    <row r="214" spans="1:15" ht="15.6" x14ac:dyDescent="0.3">
      <c r="A214" s="26"/>
      <c r="B214" s="27"/>
      <c r="C214" s="27"/>
      <c r="D214" s="27"/>
      <c r="E214" s="27"/>
      <c r="F214" s="27"/>
      <c r="G214" s="27"/>
      <c r="H214" s="37"/>
      <c r="I214" s="37"/>
      <c r="J214" s="136"/>
      <c r="K214" s="56"/>
      <c r="L214" s="136"/>
      <c r="M214" s="27"/>
      <c r="N214" s="27"/>
      <c r="O214" s="6"/>
    </row>
    <row r="215" spans="1:15" ht="15.6" x14ac:dyDescent="0.3">
      <c r="A215" s="26"/>
      <c r="B215" s="27" t="s">
        <v>232</v>
      </c>
      <c r="C215" s="27"/>
      <c r="D215" s="27"/>
      <c r="E215" s="27"/>
      <c r="F215" s="27"/>
      <c r="G215" s="27"/>
      <c r="H215" s="27"/>
      <c r="I215" s="37"/>
      <c r="J215" s="136">
        <v>1.1291</v>
      </c>
      <c r="K215" s="56"/>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61"/>
      <c r="J217" s="141"/>
      <c r="K217" s="16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JANUARY 2010</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1300-000000000000}"/>
    <hyperlink ref="K201" r:id="rId2" xr:uid="{00000000-0004-0000-13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40317</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239</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107081.57459999999</v>
      </c>
      <c r="D31" s="35"/>
      <c r="E31" s="34">
        <v>42000</v>
      </c>
      <c r="F31" s="34"/>
      <c r="G31" s="34">
        <v>27000</v>
      </c>
      <c r="H31" s="34"/>
      <c r="I31" s="34"/>
      <c r="J31" s="34"/>
      <c r="K31" s="34"/>
      <c r="L31" s="143"/>
      <c r="M31" s="34">
        <f>C31+E31+G31</f>
        <v>176081.57459999999</v>
      </c>
      <c r="N31" s="37"/>
      <c r="O31" s="6"/>
    </row>
    <row r="32" spans="1:15" ht="15.6" x14ac:dyDescent="0.3">
      <c r="A32" s="30"/>
      <c r="B32" s="31" t="s">
        <v>16</v>
      </c>
      <c r="C32" s="38">
        <f>C30*C33</f>
        <v>100609.3242</v>
      </c>
      <c r="D32" s="39"/>
      <c r="E32" s="38">
        <v>42000</v>
      </c>
      <c r="F32" s="38"/>
      <c r="G32" s="38">
        <v>27000</v>
      </c>
      <c r="H32" s="38"/>
      <c r="I32" s="38"/>
      <c r="J32" s="38"/>
      <c r="K32" s="38"/>
      <c r="L32" s="40"/>
      <c r="M32" s="34">
        <f>C32+E32+G32</f>
        <v>169609.3242</v>
      </c>
      <c r="N32" s="37"/>
      <c r="O32" s="6"/>
    </row>
    <row r="33" spans="1:15" ht="15.6" x14ac:dyDescent="0.3">
      <c r="A33" s="30"/>
      <c r="B33" s="130" t="s">
        <v>174</v>
      </c>
      <c r="C33" s="134">
        <v>0.43553819999999999</v>
      </c>
      <c r="D33" s="133"/>
      <c r="E33" s="134">
        <v>1</v>
      </c>
      <c r="F33" s="134"/>
      <c r="G33" s="134">
        <v>1</v>
      </c>
      <c r="H33" s="132"/>
      <c r="I33" s="132"/>
      <c r="J33" s="38"/>
      <c r="K33" s="38"/>
      <c r="L33" s="40"/>
      <c r="M33" s="38"/>
      <c r="N33" s="37"/>
      <c r="O33" s="6"/>
    </row>
    <row r="34" spans="1:15" ht="15.6" x14ac:dyDescent="0.3">
      <c r="A34" s="30"/>
      <c r="B34" s="130" t="s">
        <v>175</v>
      </c>
      <c r="C34" s="134">
        <v>0.46355659999999999</v>
      </c>
      <c r="D34" s="133"/>
      <c r="E34" s="134">
        <v>1</v>
      </c>
      <c r="F34" s="134"/>
      <c r="G34" s="134">
        <v>1</v>
      </c>
      <c r="H34" s="132"/>
      <c r="I34" s="132"/>
      <c r="J34" s="38"/>
      <c r="K34" s="38"/>
      <c r="L34" s="40"/>
      <c r="M34" s="38"/>
      <c r="N34" s="37"/>
      <c r="O34" s="6"/>
    </row>
    <row r="35" spans="1:15" ht="15.6" x14ac:dyDescent="0.3">
      <c r="A35" s="26"/>
      <c r="B35" s="27" t="s">
        <v>17</v>
      </c>
      <c r="C35" s="33" t="s">
        <v>164</v>
      </c>
      <c r="D35" s="27"/>
      <c r="E35" s="33" t="s">
        <v>163</v>
      </c>
      <c r="F35" s="33"/>
      <c r="G35" s="33" t="s">
        <v>162</v>
      </c>
      <c r="H35" s="33"/>
      <c r="I35" s="33"/>
      <c r="J35" s="33"/>
      <c r="K35" s="33"/>
      <c r="L35" s="142"/>
      <c r="M35" s="142"/>
      <c r="N35" s="27"/>
      <c r="O35" s="6"/>
    </row>
    <row r="36" spans="1:15" ht="15.6" x14ac:dyDescent="0.3">
      <c r="A36" s="26"/>
      <c r="B36" s="27" t="s">
        <v>18</v>
      </c>
      <c r="C36" s="41">
        <v>1.03938E-2</v>
      </c>
      <c r="D36" s="27"/>
      <c r="E36" s="41">
        <v>2.1393800000000001E-2</v>
      </c>
      <c r="F36" s="42"/>
      <c r="G36" s="41">
        <v>2.6393799999999999E-2</v>
      </c>
      <c r="H36" s="42"/>
      <c r="I36" s="41"/>
      <c r="J36" s="42"/>
      <c r="K36" s="41"/>
      <c r="L36" s="142"/>
      <c r="M36" s="42">
        <f>SUMPRODUCT(C36:G36,C31:G31)/M31</f>
        <v>1.5470992216339938E-2</v>
      </c>
      <c r="N36" s="27"/>
      <c r="O36" s="6"/>
    </row>
    <row r="37" spans="1:15" ht="15.6" x14ac:dyDescent="0.3">
      <c r="A37" s="26"/>
      <c r="B37" s="27" t="s">
        <v>19</v>
      </c>
      <c r="C37" s="41">
        <v>1.01406E-2</v>
      </c>
      <c r="D37" s="27"/>
      <c r="E37" s="41">
        <v>2.1140599999999999E-2</v>
      </c>
      <c r="F37" s="42"/>
      <c r="G37" s="41">
        <v>2.61406E-2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0.68582112591111111</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40315</v>
      </c>
      <c r="N47" s="27"/>
      <c r="O47" s="6"/>
    </row>
    <row r="48" spans="1:15" ht="15.6" x14ac:dyDescent="0.3">
      <c r="A48" s="26"/>
      <c r="B48" s="27" t="s">
        <v>26</v>
      </c>
      <c r="C48" s="27"/>
      <c r="D48" s="27"/>
      <c r="E48" s="27"/>
      <c r="F48" s="27"/>
      <c r="G48" s="27"/>
      <c r="H48" s="27"/>
      <c r="I48" s="27"/>
      <c r="J48" s="27">
        <f>M48-K48+1</f>
        <v>91</v>
      </c>
      <c r="K48" s="48">
        <v>40133</v>
      </c>
      <c r="L48" s="49"/>
      <c r="M48" s="48">
        <v>40223</v>
      </c>
      <c r="N48" s="27"/>
      <c r="O48" s="6"/>
    </row>
    <row r="49" spans="1:15" ht="15.6" x14ac:dyDescent="0.3">
      <c r="A49" s="26"/>
      <c r="B49" s="27" t="s">
        <v>27</v>
      </c>
      <c r="C49" s="27"/>
      <c r="D49" s="27"/>
      <c r="E49" s="27"/>
      <c r="F49" s="27"/>
      <c r="G49" s="27"/>
      <c r="H49" s="27"/>
      <c r="I49" s="27"/>
      <c r="J49" s="27">
        <f>M49-K49+1</f>
        <v>91</v>
      </c>
      <c r="K49" s="48">
        <v>40224</v>
      </c>
      <c r="L49" s="49"/>
      <c r="M49" s="48">
        <v>40314</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40302</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244</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176082</v>
      </c>
      <c r="F59" s="37"/>
      <c r="G59" s="37">
        <f>4952+1520+40+1</f>
        <v>6513</v>
      </c>
      <c r="H59" s="37"/>
      <c r="I59" s="37">
        <v>40</v>
      </c>
      <c r="J59" s="37"/>
      <c r="K59" s="37">
        <v>0</v>
      </c>
      <c r="L59" s="37"/>
      <c r="M59" s="56">
        <f>E59-G59+I59-K59</f>
        <v>169609</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176082</v>
      </c>
      <c r="F63" s="37"/>
      <c r="G63" s="37">
        <f>SUM(G59:G62)</f>
        <v>6513</v>
      </c>
      <c r="H63" s="37"/>
      <c r="I63" s="37">
        <f>SUM(I59:I62)</f>
        <v>40</v>
      </c>
      <c r="J63" s="37"/>
      <c r="K63" s="37">
        <f>SUM(K59:K62)</f>
        <v>0</v>
      </c>
      <c r="L63" s="37"/>
      <c r="M63" s="57">
        <f>SUM(M59:M62)</f>
        <v>169609</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c r="J73" s="37"/>
      <c r="K73" s="37"/>
      <c r="L73" s="37"/>
      <c r="M73" s="57">
        <f>+E73+I73</f>
        <v>0</v>
      </c>
      <c r="N73" s="27"/>
      <c r="O73" s="6"/>
    </row>
    <row r="74" spans="1:16" ht="15.6" x14ac:dyDescent="0.3">
      <c r="A74" s="26"/>
      <c r="B74" s="27" t="s">
        <v>171</v>
      </c>
      <c r="C74" s="37">
        <v>0</v>
      </c>
      <c r="D74" s="37"/>
      <c r="E74" s="37">
        <v>0</v>
      </c>
      <c r="F74" s="37"/>
      <c r="G74" s="37"/>
      <c r="H74" s="37"/>
      <c r="I74" s="37"/>
      <c r="J74" s="37"/>
      <c r="K74" s="37"/>
      <c r="L74" s="37"/>
      <c r="M74" s="57">
        <f>K112-M73</f>
        <v>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176082</v>
      </c>
      <c r="F76" s="37"/>
      <c r="G76" s="57"/>
      <c r="H76" s="37"/>
      <c r="I76" s="57"/>
      <c r="J76" s="37"/>
      <c r="K76" s="57"/>
      <c r="L76" s="37"/>
      <c r="M76" s="57">
        <f>SUM(M63:M75)</f>
        <v>169609</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40298</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+'Oct 2008'!K112</f>
        <v>0</v>
      </c>
      <c r="L80" s="27"/>
      <c r="M80" s="56">
        <v>0</v>
      </c>
      <c r="N80" s="27"/>
      <c r="O80" s="6"/>
    </row>
    <row r="81" spans="1:16" ht="15.6" x14ac:dyDescent="0.3">
      <c r="A81" s="26"/>
      <c r="B81" s="27" t="s">
        <v>42</v>
      </c>
      <c r="C81" s="43" t="s">
        <v>207</v>
      </c>
      <c r="D81" s="60" t="s">
        <v>207</v>
      </c>
      <c r="E81" s="61"/>
      <c r="F81" s="27"/>
      <c r="G81" s="27"/>
      <c r="H81" s="27"/>
      <c r="I81" s="27"/>
      <c r="J81" s="27"/>
      <c r="K81" s="37">
        <f>6513-1520</f>
        <v>4993</v>
      </c>
      <c r="L81" s="27"/>
      <c r="M81" s="56"/>
      <c r="N81" s="27"/>
      <c r="O81" s="6"/>
    </row>
    <row r="82" spans="1:16" ht="15.6" x14ac:dyDescent="0.3">
      <c r="A82" s="26"/>
      <c r="B82" s="27" t="s">
        <v>204</v>
      </c>
      <c r="C82" s="43"/>
      <c r="D82" s="60"/>
      <c r="E82" s="61"/>
      <c r="F82" s="27"/>
      <c r="G82" s="27"/>
      <c r="H82" s="27"/>
      <c r="I82" s="27"/>
      <c r="J82" s="27"/>
      <c r="K82" s="37"/>
      <c r="L82" s="27"/>
      <c r="M82" s="56">
        <f>6648+24-2411</f>
        <v>4261</v>
      </c>
      <c r="N82" s="27"/>
      <c r="O82" s="6"/>
    </row>
    <row r="83" spans="1:16" ht="15.6" x14ac:dyDescent="0.3">
      <c r="A83" s="26"/>
      <c r="B83" s="27" t="s">
        <v>205</v>
      </c>
      <c r="C83" s="43"/>
      <c r="D83" s="60"/>
      <c r="E83" s="61"/>
      <c r="F83" s="27"/>
      <c r="G83" s="27"/>
      <c r="H83" s="27"/>
      <c r="I83" s="27"/>
      <c r="J83" s="27"/>
      <c r="K83" s="37"/>
      <c r="L83" s="27"/>
      <c r="M83" s="56">
        <v>321</v>
      </c>
      <c r="N83" s="27"/>
      <c r="O83" s="6"/>
    </row>
    <row r="84" spans="1:16" ht="15.6" x14ac:dyDescent="0.3">
      <c r="A84" s="26"/>
      <c r="B84" s="27" t="s">
        <v>206</v>
      </c>
      <c r="C84" s="43"/>
      <c r="D84" s="60"/>
      <c r="E84" s="61"/>
      <c r="F84" s="27"/>
      <c r="G84" s="27"/>
      <c r="H84" s="27"/>
      <c r="I84" s="27"/>
      <c r="J84" s="27"/>
      <c r="K84" s="37"/>
      <c r="L84" s="27"/>
      <c r="M84" s="56">
        <v>25</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4993</v>
      </c>
      <c r="L86" s="27"/>
      <c r="M86" s="57">
        <f>SUM(M80:M85)</f>
        <v>4607</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4993</v>
      </c>
      <c r="L88" s="27"/>
      <c r="M88" s="57">
        <f>M86+M87</f>
        <v>4607</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0</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-65-101-2</f>
        <v>-168</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-277</v>
      </c>
      <c r="N94" s="27"/>
      <c r="O94" s="6"/>
    </row>
    <row r="95" spans="1:16" ht="15.6" x14ac:dyDescent="0.3">
      <c r="A95" s="26">
        <v>5</v>
      </c>
      <c r="B95" s="27" t="s">
        <v>52</v>
      </c>
      <c r="C95" s="27"/>
      <c r="D95" s="27"/>
      <c r="E95" s="27"/>
      <c r="F95" s="27"/>
      <c r="G95" s="27"/>
      <c r="H95" s="27"/>
      <c r="I95" s="27"/>
      <c r="J95" s="27"/>
      <c r="K95" s="27"/>
      <c r="L95" s="27"/>
      <c r="M95" s="56">
        <v>-224</v>
      </c>
      <c r="N95" s="27"/>
      <c r="O95" s="6"/>
    </row>
    <row r="96" spans="1:16" ht="15.6" x14ac:dyDescent="0.3">
      <c r="A96" s="26">
        <v>6</v>
      </c>
      <c r="B96" s="27" t="s">
        <v>172</v>
      </c>
      <c r="C96" s="27"/>
      <c r="D96" s="27"/>
      <c r="E96" s="27"/>
      <c r="F96" s="27"/>
      <c r="G96" s="27"/>
      <c r="H96" s="27"/>
      <c r="I96" s="27"/>
      <c r="J96" s="27"/>
      <c r="K96" s="27"/>
      <c r="L96" s="27"/>
      <c r="M96" s="56">
        <v>-178</v>
      </c>
      <c r="N96" s="27"/>
      <c r="O96" s="6"/>
    </row>
    <row r="97" spans="1:16" ht="15.6" x14ac:dyDescent="0.3">
      <c r="A97" s="26">
        <v>7</v>
      </c>
      <c r="B97" s="27" t="s">
        <v>53</v>
      </c>
      <c r="C97" s="27"/>
      <c r="D97" s="27"/>
      <c r="E97" s="27"/>
      <c r="F97" s="27"/>
      <c r="G97" s="27"/>
      <c r="H97" s="27"/>
      <c r="I97" s="27"/>
      <c r="J97" s="27"/>
      <c r="K97" s="27"/>
      <c r="L97" s="27"/>
      <c r="M97" s="56">
        <v>-7</v>
      </c>
      <c r="N97" s="27"/>
      <c r="O97" s="6"/>
    </row>
    <row r="98" spans="1:16" ht="15.6" x14ac:dyDescent="0.3">
      <c r="A98" s="26">
        <v>8</v>
      </c>
      <c r="B98" s="27" t="s">
        <v>69</v>
      </c>
      <c r="C98" s="27"/>
      <c r="D98" s="27"/>
      <c r="E98" s="27"/>
      <c r="F98" s="27"/>
      <c r="G98" s="27"/>
      <c r="H98" s="27"/>
      <c r="I98" s="27"/>
      <c r="J98" s="27"/>
      <c r="K98" s="37">
        <f>-M98</f>
        <v>1520</v>
      </c>
      <c r="L98" s="27"/>
      <c r="M98" s="56">
        <v>-1520</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-64</v>
      </c>
      <c r="N102" s="27"/>
      <c r="O102" s="6"/>
    </row>
    <row r="103" spans="1:16" ht="15.6" x14ac:dyDescent="0.3">
      <c r="A103" s="26">
        <v>13</v>
      </c>
      <c r="B103" s="27" t="s">
        <v>195</v>
      </c>
      <c r="C103" s="27"/>
      <c r="D103" s="27"/>
      <c r="E103" s="27"/>
      <c r="F103" s="27"/>
      <c r="G103" s="27"/>
      <c r="H103" s="27"/>
      <c r="I103" s="27"/>
      <c r="J103" s="27"/>
      <c r="K103" s="27"/>
      <c r="L103" s="27"/>
      <c r="M103" s="56">
        <f>-M88-SUM(M90:M102)</f>
        <v>-2167</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-40</v>
      </c>
      <c r="L106" s="37"/>
      <c r="M106" s="56"/>
      <c r="N106" s="27"/>
      <c r="O106" s="6"/>
      <c r="P106" s="117"/>
    </row>
    <row r="107" spans="1:16" ht="15.6" x14ac:dyDescent="0.3">
      <c r="A107" s="26"/>
      <c r="B107" s="27" t="s">
        <v>187</v>
      </c>
      <c r="C107" s="27"/>
      <c r="D107" s="27"/>
      <c r="E107" s="27"/>
      <c r="F107" s="27"/>
      <c r="G107" s="27"/>
      <c r="H107" s="27"/>
      <c r="I107" s="27"/>
      <c r="J107" s="27"/>
      <c r="K107" s="37">
        <v>0</v>
      </c>
      <c r="L107" s="37"/>
      <c r="M107" s="56"/>
      <c r="N107" s="27"/>
      <c r="O107" s="6"/>
    </row>
    <row r="108" spans="1:16" ht="15.6" x14ac:dyDescent="0.3">
      <c r="A108" s="26"/>
      <c r="B108" s="27" t="s">
        <v>185</v>
      </c>
      <c r="C108" s="27"/>
      <c r="D108" s="27"/>
      <c r="E108" s="27"/>
      <c r="F108" s="27"/>
      <c r="G108" s="27"/>
      <c r="H108" s="27"/>
      <c r="I108" s="27"/>
      <c r="J108" s="27"/>
      <c r="K108" s="37">
        <v>-6473</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+K106+K107+K108</f>
        <v>-6513</v>
      </c>
      <c r="L111" s="37"/>
      <c r="M111" s="37">
        <f>SUM(M89:M110)</f>
        <v>-4607</v>
      </c>
      <c r="N111" s="27"/>
      <c r="O111" s="6"/>
    </row>
    <row r="112" spans="1:16" ht="15.6" x14ac:dyDescent="0.3">
      <c r="A112" s="26"/>
      <c r="B112" s="27" t="s">
        <v>61</v>
      </c>
      <c r="C112" s="27"/>
      <c r="D112" s="27"/>
      <c r="E112" s="27"/>
      <c r="F112" s="27"/>
      <c r="G112" s="27"/>
      <c r="H112" s="27"/>
      <c r="I112" s="27"/>
      <c r="J112" s="27"/>
      <c r="K112" s="37">
        <f>K88+K111+K98</f>
        <v>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APRIL 2010</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517</v>
      </c>
      <c r="N138" s="27"/>
      <c r="O138" s="6"/>
    </row>
    <row r="139" spans="1:15" ht="15.6" x14ac:dyDescent="0.3">
      <c r="A139" s="26"/>
      <c r="B139" s="27" t="s">
        <v>180</v>
      </c>
      <c r="C139" s="27"/>
      <c r="D139" s="27"/>
      <c r="E139" s="27"/>
      <c r="F139" s="27"/>
      <c r="G139" s="27"/>
      <c r="H139" s="27"/>
      <c r="I139" s="27"/>
      <c r="J139" s="27"/>
      <c r="K139" s="27"/>
      <c r="L139" s="27"/>
      <c r="M139" s="56">
        <f>1494-491</f>
        <v>1003</v>
      </c>
      <c r="N139" s="27"/>
      <c r="O139" s="6"/>
    </row>
    <row r="140" spans="1:15" ht="15.6" x14ac:dyDescent="0.3">
      <c r="A140" s="26"/>
      <c r="B140" s="27" t="s">
        <v>77</v>
      </c>
      <c r="C140" s="27"/>
      <c r="D140" s="27"/>
      <c r="E140" s="27"/>
      <c r="F140" s="27"/>
      <c r="G140" s="27"/>
      <c r="H140" s="27"/>
      <c r="I140" s="27"/>
      <c r="J140" s="27"/>
      <c r="K140" s="27"/>
      <c r="L140" s="27"/>
      <c r="M140" s="56">
        <f>M138+M137+M139</f>
        <v>1520</v>
      </c>
      <c r="N140" s="27"/>
      <c r="O140" s="6"/>
    </row>
    <row r="141" spans="1:15" ht="15.6" x14ac:dyDescent="0.3">
      <c r="A141" s="26"/>
      <c r="B141" s="27" t="s">
        <v>183</v>
      </c>
      <c r="C141" s="27"/>
      <c r="D141" s="27"/>
      <c r="E141" s="27"/>
      <c r="F141" s="27"/>
      <c r="G141" s="27"/>
      <c r="H141" s="27"/>
      <c r="I141" s="70"/>
      <c r="J141" s="27"/>
      <c r="K141" s="27"/>
      <c r="L141" s="27"/>
      <c r="M141" s="56">
        <f>M98</f>
        <v>-1520</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169609</v>
      </c>
      <c r="N147" s="27"/>
      <c r="O147" s="6"/>
      <c r="P147" s="117"/>
    </row>
    <row r="148" spans="1:16" ht="15.6" x14ac:dyDescent="0.3">
      <c r="A148" s="26"/>
      <c r="B148" s="27" t="s">
        <v>80</v>
      </c>
      <c r="C148" s="71"/>
      <c r="D148" s="71"/>
      <c r="E148" s="27"/>
      <c r="F148" s="27"/>
      <c r="G148" s="27"/>
      <c r="H148" s="27"/>
      <c r="I148" s="27"/>
      <c r="J148" s="27"/>
      <c r="K148" s="27"/>
      <c r="L148" s="27"/>
      <c r="M148" s="56">
        <f>M76</f>
        <v>169609</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+'Jan 2010'!I155</f>
        <v>7447</v>
      </c>
      <c r="J153" s="27"/>
      <c r="K153" s="56">
        <v>0</v>
      </c>
      <c r="L153" s="27"/>
      <c r="M153" s="56">
        <f>K153+I153</f>
        <v>7447</v>
      </c>
      <c r="N153" s="27"/>
      <c r="O153" s="6"/>
    </row>
    <row r="154" spans="1:16" ht="15.6" x14ac:dyDescent="0.3">
      <c r="A154" s="26"/>
      <c r="B154" s="27" t="s">
        <v>84</v>
      </c>
      <c r="C154" s="27"/>
      <c r="D154" s="27"/>
      <c r="E154" s="27"/>
      <c r="F154" s="27"/>
      <c r="G154" s="27"/>
      <c r="H154" s="27"/>
      <c r="I154" s="37">
        <v>40</v>
      </c>
      <c r="J154" s="27"/>
      <c r="K154" s="27">
        <v>0</v>
      </c>
      <c r="L154" s="27"/>
      <c r="M154" s="56">
        <f>K154+I154</f>
        <v>40</v>
      </c>
      <c r="N154" s="27"/>
      <c r="O154" s="6"/>
    </row>
    <row r="155" spans="1:16" ht="15.6" x14ac:dyDescent="0.3">
      <c r="A155" s="26"/>
      <c r="B155" s="27" t="s">
        <v>85</v>
      </c>
      <c r="C155" s="27"/>
      <c r="D155" s="27"/>
      <c r="E155" s="27"/>
      <c r="F155" s="27"/>
      <c r="G155" s="27"/>
      <c r="H155" s="27"/>
      <c r="I155" s="56">
        <f>I153+I154</f>
        <v>7487</v>
      </c>
      <c r="J155" s="27"/>
      <c r="K155" s="56">
        <f>K154+K153</f>
        <v>0</v>
      </c>
      <c r="L155" s="27"/>
      <c r="M155" s="56">
        <f>K155+I155</f>
        <v>7487</v>
      </c>
      <c r="N155" s="27"/>
      <c r="O155" s="6"/>
    </row>
    <row r="156" spans="1:16" ht="15.6" x14ac:dyDescent="0.3">
      <c r="A156" s="26"/>
      <c r="B156" s="27" t="s">
        <v>86</v>
      </c>
      <c r="C156" s="27"/>
      <c r="D156" s="27"/>
      <c r="E156" s="27"/>
      <c r="F156" s="27"/>
      <c r="G156" s="27"/>
      <c r="H156" s="27"/>
      <c r="I156" s="56">
        <f>I152-I155-K155</f>
        <v>7513</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16.018050541516246</v>
      </c>
      <c r="N160" s="27" t="s">
        <v>145</v>
      </c>
      <c r="O160" s="6"/>
    </row>
    <row r="161" spans="1:15" ht="15.6" x14ac:dyDescent="0.3">
      <c r="A161" s="26"/>
      <c r="B161" s="27" t="s">
        <v>89</v>
      </c>
      <c r="C161" s="27"/>
      <c r="D161" s="27"/>
      <c r="E161" s="27"/>
      <c r="F161" s="27"/>
      <c r="G161" s="27"/>
      <c r="H161" s="27"/>
      <c r="I161" s="27"/>
      <c r="J161" s="27"/>
      <c r="K161" s="27"/>
      <c r="L161" s="27"/>
      <c r="M161" s="73">
        <v>2.81</v>
      </c>
      <c r="N161" s="27" t="s">
        <v>145</v>
      </c>
      <c r="O161" s="6"/>
    </row>
    <row r="162" spans="1:15" ht="15.6" x14ac:dyDescent="0.3">
      <c r="A162" s="26"/>
      <c r="B162" s="27" t="s">
        <v>90</v>
      </c>
      <c r="C162" s="27"/>
      <c r="D162" s="27"/>
      <c r="E162" s="27"/>
      <c r="F162" s="27"/>
      <c r="G162" s="27"/>
      <c r="H162" s="27"/>
      <c r="I162" s="27"/>
      <c r="J162" s="27"/>
      <c r="K162" s="27"/>
      <c r="L162" s="27"/>
      <c r="M162" s="63">
        <f>(M88+M90+M91+M92+M93+M94)/-M95</f>
        <v>18.571428571428573</v>
      </c>
      <c r="N162" s="27" t="s">
        <v>145</v>
      </c>
      <c r="O162" s="6"/>
    </row>
    <row r="163" spans="1:15" ht="15.6" x14ac:dyDescent="0.3">
      <c r="A163" s="26"/>
      <c r="B163" s="27" t="s">
        <v>91</v>
      </c>
      <c r="C163" s="27"/>
      <c r="D163" s="27"/>
      <c r="E163" s="27"/>
      <c r="F163" s="27"/>
      <c r="G163" s="27"/>
      <c r="H163" s="27"/>
      <c r="I163" s="27"/>
      <c r="J163" s="27"/>
      <c r="K163" s="27"/>
      <c r="L163" s="27"/>
      <c r="M163" s="74">
        <v>8.36</v>
      </c>
      <c r="N163" s="27" t="s">
        <v>145</v>
      </c>
      <c r="O163" s="6"/>
    </row>
    <row r="164" spans="1:15" ht="15.6" x14ac:dyDescent="0.3">
      <c r="A164" s="26"/>
      <c r="B164" s="27" t="s">
        <v>181</v>
      </c>
      <c r="C164" s="27"/>
      <c r="D164" s="27"/>
      <c r="E164" s="27"/>
      <c r="F164" s="27"/>
      <c r="G164" s="27"/>
      <c r="H164" s="27"/>
      <c r="I164" s="27"/>
      <c r="J164" s="27"/>
      <c r="K164" s="27"/>
      <c r="L164" s="27"/>
      <c r="M164" s="63">
        <f>(M88+M90+M91+M92+M93+M94+M95)/-M96</f>
        <v>22.112359550561798</v>
      </c>
      <c r="N164" s="27" t="s">
        <v>145</v>
      </c>
      <c r="O164" s="6"/>
    </row>
    <row r="165" spans="1:15" ht="15.6" x14ac:dyDescent="0.3">
      <c r="A165" s="26"/>
      <c r="B165" s="27" t="s">
        <v>182</v>
      </c>
      <c r="C165" s="27"/>
      <c r="D165" s="27"/>
      <c r="E165" s="27"/>
      <c r="F165" s="27"/>
      <c r="G165" s="27"/>
      <c r="H165" s="27"/>
      <c r="I165" s="27"/>
      <c r="J165" s="27"/>
      <c r="K165" s="27"/>
      <c r="L165" s="27"/>
      <c r="M165" s="74">
        <v>10.87</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APRIL 2010</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40298</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9.5299999999999996E-2</v>
      </c>
      <c r="L175" s="27"/>
      <c r="M175" s="27"/>
      <c r="N175" s="27"/>
      <c r="O175" s="6"/>
    </row>
    <row r="176" spans="1:15" ht="15.6" x14ac:dyDescent="0.3">
      <c r="A176" s="83"/>
      <c r="B176" s="84" t="s">
        <v>97</v>
      </c>
      <c r="C176" s="85"/>
      <c r="D176" s="85"/>
      <c r="E176" s="85"/>
      <c r="F176" s="85"/>
      <c r="G176" s="85"/>
      <c r="H176" s="70"/>
      <c r="I176" s="70"/>
      <c r="J176" s="70"/>
      <c r="K176" s="86">
        <f>M36</f>
        <v>1.5470992216339938E-2</v>
      </c>
      <c r="L176" s="27"/>
      <c r="M176" s="27"/>
      <c r="N176" s="27"/>
      <c r="O176" s="6"/>
    </row>
    <row r="177" spans="1:15" ht="15.6" x14ac:dyDescent="0.3">
      <c r="A177" s="83"/>
      <c r="B177" s="84" t="s">
        <v>98</v>
      </c>
      <c r="C177" s="85"/>
      <c r="D177" s="85"/>
      <c r="E177" s="85"/>
      <c r="F177" s="85"/>
      <c r="G177" s="85"/>
      <c r="H177" s="70"/>
      <c r="I177" s="70"/>
      <c r="J177" s="70"/>
      <c r="K177" s="86">
        <f>K175-K176</f>
        <v>7.9829007783660061E-2</v>
      </c>
      <c r="L177" s="27"/>
      <c r="M177" s="27"/>
      <c r="N177" s="27"/>
      <c r="O177" s="6"/>
    </row>
    <row r="178" spans="1:15" ht="15.6" x14ac:dyDescent="0.3">
      <c r="A178" s="83"/>
      <c r="B178" s="84" t="s">
        <v>211</v>
      </c>
      <c r="C178" s="85"/>
      <c r="D178" s="85"/>
      <c r="E178" s="85"/>
      <c r="F178" s="85"/>
      <c r="G178" s="85"/>
      <c r="H178" s="70"/>
      <c r="I178" s="70"/>
      <c r="J178" s="70"/>
      <c r="K178" s="86">
        <f>(+M88+M90)/E59</f>
        <v>2.6163946343181019E-2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14.15</v>
      </c>
      <c r="L183" s="27" t="s">
        <v>139</v>
      </c>
      <c r="M183" s="27"/>
      <c r="N183" s="27"/>
      <c r="O183" s="6"/>
    </row>
    <row r="184" spans="1:15" ht="15.6" x14ac:dyDescent="0.3">
      <c r="A184" s="83"/>
      <c r="B184" s="84" t="s">
        <v>103</v>
      </c>
      <c r="C184" s="85"/>
      <c r="D184" s="85"/>
      <c r="E184" s="85"/>
      <c r="F184" s="85"/>
      <c r="G184" s="85"/>
      <c r="H184" s="70"/>
      <c r="I184" s="70"/>
      <c r="J184" s="70"/>
      <c r="K184" s="138">
        <f>K81/E59</f>
        <v>2.835610681387081E-2</v>
      </c>
      <c r="L184" s="27"/>
      <c r="M184" s="27"/>
      <c r="N184" s="27"/>
      <c r="O184" s="6"/>
    </row>
    <row r="185" spans="1:15" ht="15.6" x14ac:dyDescent="0.3">
      <c r="A185" s="83"/>
      <c r="B185" s="84" t="s">
        <v>104</v>
      </c>
      <c r="C185" s="85"/>
      <c r="D185" s="85"/>
      <c r="E185" s="85"/>
      <c r="F185" s="85"/>
      <c r="G185" s="85"/>
      <c r="H185" s="70"/>
      <c r="I185" s="70"/>
      <c r="J185" s="70"/>
      <c r="K185" s="86">
        <v>0.30599999999999999</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159">
        <v>919</v>
      </c>
      <c r="K188" s="157">
        <v>25718</v>
      </c>
      <c r="L188" s="27"/>
      <c r="M188" s="160"/>
      <c r="N188" s="94"/>
      <c r="O188" s="6"/>
    </row>
    <row r="189" spans="1:15" ht="15.6" x14ac:dyDescent="0.3">
      <c r="A189" s="92"/>
      <c r="B189" s="84" t="s">
        <v>196</v>
      </c>
      <c r="C189" s="57"/>
      <c r="D189" s="57"/>
      <c r="E189" s="57"/>
      <c r="F189" s="57"/>
      <c r="G189" s="27"/>
      <c r="H189" s="27"/>
      <c r="I189" s="27"/>
      <c r="J189" s="33">
        <v>6</v>
      </c>
      <c r="K189" s="93">
        <v>184</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240</v>
      </c>
      <c r="C191" s="57"/>
      <c r="D191" s="57"/>
      <c r="E191" s="57"/>
      <c r="F191" s="57"/>
      <c r="G191" s="27"/>
      <c r="H191" s="27"/>
      <c r="I191" s="27"/>
      <c r="J191" s="27"/>
      <c r="K191" s="93">
        <f>+I59</f>
        <v>40</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1520</v>
      </c>
      <c r="L193" s="27"/>
      <c r="M193" s="87"/>
      <c r="N193" s="96"/>
      <c r="O193" s="6"/>
    </row>
    <row r="194" spans="1:15" ht="15.6" x14ac:dyDescent="0.3">
      <c r="A194" s="92"/>
      <c r="B194" s="84" t="s">
        <v>111</v>
      </c>
      <c r="C194" s="57"/>
      <c r="D194" s="57"/>
      <c r="E194" s="57"/>
      <c r="F194" s="57"/>
      <c r="G194" s="57"/>
      <c r="H194" s="27"/>
      <c r="I194" s="27"/>
      <c r="J194" s="27"/>
      <c r="K194" s="93">
        <f>'Jan 2010'!K194+'April 2010'!K193</f>
        <v>21021</v>
      </c>
      <c r="L194" s="27"/>
      <c r="M194" s="87"/>
      <c r="N194" s="96"/>
      <c r="O194" s="6"/>
    </row>
    <row r="195" spans="1:15" ht="15.6" x14ac:dyDescent="0.3">
      <c r="A195" s="92"/>
      <c r="B195" s="84" t="s">
        <v>112</v>
      </c>
      <c r="C195" s="57"/>
      <c r="D195" s="57"/>
      <c r="E195" s="57"/>
      <c r="F195" s="57"/>
      <c r="G195" s="57"/>
      <c r="H195" s="27"/>
      <c r="I195" s="27"/>
      <c r="J195" s="27"/>
      <c r="K195" s="157">
        <f>+'Jan 2010'!K195+301</f>
        <v>5763</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3</v>
      </c>
      <c r="L197" s="27"/>
      <c r="M197" s="87"/>
      <c r="N197" s="96"/>
      <c r="O197" s="6"/>
    </row>
    <row r="198" spans="1:15" ht="15.6" x14ac:dyDescent="0.3">
      <c r="A198" s="92"/>
      <c r="B198" s="84" t="s">
        <v>113</v>
      </c>
      <c r="C198" s="57"/>
      <c r="D198" s="57"/>
      <c r="E198" s="97"/>
      <c r="F198" s="97"/>
      <c r="G198" s="98"/>
      <c r="H198" s="27"/>
      <c r="I198" s="27"/>
      <c r="J198" s="27"/>
      <c r="K198" s="68">
        <v>12.16</v>
      </c>
      <c r="L198" s="27"/>
      <c r="M198" s="87"/>
      <c r="N198" s="96"/>
      <c r="O198" s="6"/>
    </row>
    <row r="199" spans="1:15" ht="15.6" x14ac:dyDescent="0.3">
      <c r="A199" s="92"/>
      <c r="B199" s="84" t="s">
        <v>114</v>
      </c>
      <c r="C199" s="57"/>
      <c r="D199" s="57"/>
      <c r="E199" s="97"/>
      <c r="F199" s="97"/>
      <c r="G199" s="98"/>
      <c r="H199" s="27"/>
      <c r="I199" s="27"/>
      <c r="J199" s="27"/>
      <c r="K199" s="68">
        <v>4.1100000000000003</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5973</v>
      </c>
      <c r="J204" s="103">
        <f>I204/I213</f>
        <v>0.86665699361578641</v>
      </c>
      <c r="K204" s="56">
        <v>143891</v>
      </c>
      <c r="L204" s="136">
        <f>K204/K213</f>
        <v>0.84836889551851613</v>
      </c>
      <c r="M204" s="87"/>
      <c r="N204" s="96"/>
      <c r="O204" s="6"/>
    </row>
    <row r="205" spans="1:15" ht="15.6" x14ac:dyDescent="0.3">
      <c r="A205" s="26"/>
      <c r="B205" s="57" t="s">
        <v>117</v>
      </c>
      <c r="C205" s="102"/>
      <c r="D205" s="102"/>
      <c r="E205" s="57"/>
      <c r="F205" s="102"/>
      <c r="G205" s="27"/>
      <c r="H205" s="103"/>
      <c r="I205" s="57">
        <v>287</v>
      </c>
      <c r="J205" s="103">
        <f>I205/I213</f>
        <v>4.1642484039466049E-2</v>
      </c>
      <c r="K205" s="56">
        <v>7977</v>
      </c>
      <c r="L205" s="136">
        <f>K205/K213</f>
        <v>4.7031702327117078E-2</v>
      </c>
      <c r="M205" s="87"/>
      <c r="N205" s="96"/>
      <c r="O205" s="6"/>
    </row>
    <row r="206" spans="1:15" ht="15.6" x14ac:dyDescent="0.3">
      <c r="A206" s="26"/>
      <c r="B206" s="57" t="s">
        <v>118</v>
      </c>
      <c r="C206" s="102"/>
      <c r="D206" s="102"/>
      <c r="E206" s="57"/>
      <c r="F206" s="102"/>
      <c r="G206" s="27"/>
      <c r="H206" s="103"/>
      <c r="I206" s="57">
        <v>165</v>
      </c>
      <c r="J206" s="103">
        <f>I206/I213</f>
        <v>2.3940800928612886E-2</v>
      </c>
      <c r="K206" s="56">
        <v>4363</v>
      </c>
      <c r="L206" s="136">
        <f>K206/K213</f>
        <v>2.5723870785158805E-2</v>
      </c>
      <c r="M206" s="87"/>
      <c r="N206" s="94"/>
      <c r="O206" s="6"/>
    </row>
    <row r="207" spans="1:15" ht="15.6" x14ac:dyDescent="0.3">
      <c r="A207" s="26"/>
      <c r="B207" s="57" t="s">
        <v>167</v>
      </c>
      <c r="C207" s="102"/>
      <c r="D207" s="102"/>
      <c r="E207" s="57"/>
      <c r="F207" s="102"/>
      <c r="G207" s="27"/>
      <c r="H207" s="103"/>
      <c r="I207" s="57">
        <v>88</v>
      </c>
      <c r="J207" s="103">
        <f>I207/I213</f>
        <v>1.2768427161926872E-2</v>
      </c>
      <c r="K207" s="56">
        <v>2394</v>
      </c>
      <c r="L207" s="136">
        <f>K207/K213</f>
        <v>1.4114817020323214E-2</v>
      </c>
      <c r="M207" s="87"/>
      <c r="N207" s="96"/>
      <c r="O207" s="6"/>
    </row>
    <row r="208" spans="1:15" ht="15.6" x14ac:dyDescent="0.3">
      <c r="A208" s="26"/>
      <c r="B208" s="57" t="s">
        <v>168</v>
      </c>
      <c r="C208" s="102"/>
      <c r="D208" s="102"/>
      <c r="E208" s="57"/>
      <c r="F208" s="102"/>
      <c r="G208" s="27"/>
      <c r="H208" s="103"/>
      <c r="I208" s="57">
        <v>82</v>
      </c>
      <c r="J208" s="103">
        <f>I208/I213</f>
        <v>1.1897852582704585E-2</v>
      </c>
      <c r="K208" s="56">
        <v>2364</v>
      </c>
      <c r="L208" s="136">
        <f>K208/K213</f>
        <v>1.3937939614053499E-2</v>
      </c>
      <c r="M208" s="87"/>
      <c r="N208" s="96"/>
      <c r="O208" s="6"/>
    </row>
    <row r="209" spans="1:15" ht="15.6" x14ac:dyDescent="0.3">
      <c r="A209" s="26"/>
      <c r="B209" s="57" t="s">
        <v>169</v>
      </c>
      <c r="C209" s="102"/>
      <c r="D209" s="102"/>
      <c r="E209" s="57"/>
      <c r="F209" s="102"/>
      <c r="G209" s="27"/>
      <c r="H209" s="103"/>
      <c r="I209" s="57">
        <v>59</v>
      </c>
      <c r="J209" s="103">
        <f>I209/I213</f>
        <v>8.5606500290191529E-3</v>
      </c>
      <c r="K209" s="56">
        <v>1621</v>
      </c>
      <c r="L209" s="136">
        <f>K209/K213</f>
        <v>9.5572758521069046E-3</v>
      </c>
      <c r="M209" s="87"/>
      <c r="N209" s="96"/>
      <c r="O209" s="6"/>
    </row>
    <row r="210" spans="1:15" ht="15.6" x14ac:dyDescent="0.3">
      <c r="A210" s="26"/>
      <c r="B210" s="57" t="s">
        <v>176</v>
      </c>
      <c r="C210" s="102"/>
      <c r="D210" s="102"/>
      <c r="E210" s="57"/>
      <c r="F210" s="102"/>
      <c r="G210" s="27"/>
      <c r="H210" s="103"/>
      <c r="I210" s="57">
        <v>164</v>
      </c>
      <c r="J210" s="103">
        <f>I210/I213</f>
        <v>2.3795705165409169E-2</v>
      </c>
      <c r="K210" s="56">
        <v>4830</v>
      </c>
      <c r="L210" s="136">
        <f>K210/K213</f>
        <v>2.8477262409424029E-2</v>
      </c>
      <c r="M210" s="87"/>
      <c r="N210" s="94"/>
      <c r="O210" s="6"/>
    </row>
    <row r="211" spans="1:15" ht="15.6" x14ac:dyDescent="0.3">
      <c r="A211" s="26"/>
      <c r="B211" s="57" t="s">
        <v>202</v>
      </c>
      <c r="C211" s="102"/>
      <c r="D211" s="102"/>
      <c r="E211" s="57"/>
      <c r="F211" s="102"/>
      <c r="G211" s="27"/>
      <c r="H211" s="103"/>
      <c r="I211" s="57">
        <v>74</v>
      </c>
      <c r="J211" s="103">
        <f>+I211/I213</f>
        <v>1.0737086477074869E-2</v>
      </c>
      <c r="K211" s="56">
        <v>2169</v>
      </c>
      <c r="L211" s="136">
        <f>+K211/K213</f>
        <v>1.2788236473300355E-2</v>
      </c>
      <c r="M211" s="87"/>
      <c r="N211" s="94"/>
      <c r="O211" s="6"/>
    </row>
    <row r="212" spans="1:15" ht="15.6" x14ac:dyDescent="0.3">
      <c r="A212" s="26"/>
      <c r="B212" s="57" t="s">
        <v>170</v>
      </c>
      <c r="C212" s="102"/>
      <c r="D212" s="102"/>
      <c r="E212" s="57"/>
      <c r="F212" s="102"/>
      <c r="G212" s="3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37"/>
      <c r="H213" s="27"/>
      <c r="I213" s="37">
        <f>SUM(I204:I212)</f>
        <v>6892</v>
      </c>
      <c r="J213" s="136">
        <f>SUM(J204:J212)</f>
        <v>0.99999999999999989</v>
      </c>
      <c r="K213" s="56">
        <f>SUM(K204:K212)</f>
        <v>169609</v>
      </c>
      <c r="L213" s="136">
        <f>SUM(L204:L212)</f>
        <v>1</v>
      </c>
      <c r="M213" s="27"/>
      <c r="N213" s="27"/>
      <c r="O213" s="6"/>
    </row>
    <row r="214" spans="1:15" ht="15.6" x14ac:dyDescent="0.3">
      <c r="A214" s="26"/>
      <c r="B214" s="27"/>
      <c r="C214" s="27"/>
      <c r="D214" s="27"/>
      <c r="E214" s="27"/>
      <c r="F214" s="27"/>
      <c r="G214" s="27"/>
      <c r="H214" s="37"/>
      <c r="I214" s="37"/>
      <c r="J214" s="136"/>
      <c r="K214" s="56"/>
      <c r="L214" s="136"/>
      <c r="M214" s="27"/>
      <c r="N214" s="27"/>
      <c r="O214" s="6"/>
    </row>
    <row r="215" spans="1:15" ht="15.6" x14ac:dyDescent="0.3">
      <c r="A215" s="26"/>
      <c r="B215" s="27" t="s">
        <v>232</v>
      </c>
      <c r="C215" s="27"/>
      <c r="D215" s="27"/>
      <c r="E215" s="27"/>
      <c r="F215" s="27"/>
      <c r="G215" s="27"/>
      <c r="H215" s="27"/>
      <c r="I215" s="37"/>
      <c r="J215" s="136">
        <v>1.1316999999999999</v>
      </c>
      <c r="K215" s="56"/>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61"/>
      <c r="J217" s="141"/>
      <c r="K217" s="16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APRIL 2010</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1400-000000000000}"/>
    <hyperlink ref="K201" r:id="rId2" xr:uid="{00000000-0004-0000-14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2D2926"/>
  </sheetPr>
  <dimension ref="A1:P225"/>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5.6" x14ac:dyDescent="0.3">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40407</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62" t="s">
        <v>131</v>
      </c>
      <c r="D23" s="362"/>
      <c r="E23" s="362" t="s">
        <v>124</v>
      </c>
      <c r="F23" s="362"/>
      <c r="G23" s="362" t="s">
        <v>152</v>
      </c>
      <c r="H23" s="362"/>
      <c r="I23" s="362"/>
      <c r="J23" s="363"/>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121</v>
      </c>
      <c r="D27" s="341"/>
      <c r="E27" s="341" t="s">
        <v>125</v>
      </c>
      <c r="F27" s="341"/>
      <c r="G27" s="341" t="s">
        <v>239</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100609.3242</v>
      </c>
      <c r="D31" s="345"/>
      <c r="E31" s="344">
        <v>42000</v>
      </c>
      <c r="F31" s="344"/>
      <c r="G31" s="344">
        <v>27000</v>
      </c>
      <c r="H31" s="346"/>
      <c r="I31" s="346"/>
      <c r="J31" s="346"/>
      <c r="K31" s="346"/>
      <c r="L31" s="347"/>
      <c r="M31" s="344">
        <f>C31+E31+G31</f>
        <v>169609.3242</v>
      </c>
      <c r="N31" s="348"/>
      <c r="O31" s="6"/>
    </row>
    <row r="32" spans="1:15" ht="15.6" x14ac:dyDescent="0.3">
      <c r="A32" s="340"/>
      <c r="B32" s="319" t="s">
        <v>16</v>
      </c>
      <c r="C32" s="349">
        <f>C30*C33</f>
        <v>93109.262399999992</v>
      </c>
      <c r="D32" s="350"/>
      <c r="E32" s="349">
        <v>42000</v>
      </c>
      <c r="F32" s="349"/>
      <c r="G32" s="349">
        <v>27000</v>
      </c>
      <c r="H32" s="351"/>
      <c r="I32" s="351"/>
      <c r="J32" s="351"/>
      <c r="K32" s="351"/>
      <c r="L32" s="352"/>
      <c r="M32" s="344">
        <f>C32+E32+G32</f>
        <v>162109.26240000001</v>
      </c>
      <c r="N32" s="348"/>
      <c r="O32" s="6"/>
    </row>
    <row r="33" spans="1:15" ht="15.6" x14ac:dyDescent="0.3">
      <c r="A33" s="340"/>
      <c r="B33" s="278" t="s">
        <v>174</v>
      </c>
      <c r="C33" s="353">
        <v>0.4030704</v>
      </c>
      <c r="D33" s="354"/>
      <c r="E33" s="353">
        <v>1</v>
      </c>
      <c r="F33" s="353"/>
      <c r="G33" s="353">
        <v>1</v>
      </c>
      <c r="H33" s="355"/>
      <c r="I33" s="355"/>
      <c r="J33" s="351"/>
      <c r="K33" s="351"/>
      <c r="L33" s="352"/>
      <c r="M33" s="351"/>
      <c r="N33" s="348"/>
      <c r="O33" s="6"/>
    </row>
    <row r="34" spans="1:15" ht="15.6" x14ac:dyDescent="0.3">
      <c r="A34" s="340"/>
      <c r="B34" s="278" t="s">
        <v>175</v>
      </c>
      <c r="C34" s="353">
        <v>0.43553819999999999</v>
      </c>
      <c r="D34" s="354"/>
      <c r="E34" s="353">
        <v>1</v>
      </c>
      <c r="F34" s="353"/>
      <c r="G34" s="353">
        <v>1</v>
      </c>
      <c r="H34" s="355"/>
      <c r="I34" s="355"/>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1.09625E-2</v>
      </c>
      <c r="D36" s="258"/>
      <c r="E36" s="356">
        <v>2.1962499999999999E-2</v>
      </c>
      <c r="F36" s="304"/>
      <c r="G36" s="356">
        <v>2.69625E-2</v>
      </c>
      <c r="H36" s="304"/>
      <c r="I36" s="356"/>
      <c r="J36" s="304"/>
      <c r="K36" s="356"/>
      <c r="L36" s="321"/>
      <c r="M36" s="304">
        <f>SUMPRODUCT(C36:G36,C31:G31)/M31</f>
        <v>1.6233436631678411E-2</v>
      </c>
      <c r="N36" s="264"/>
      <c r="O36" s="6"/>
    </row>
    <row r="37" spans="1:15" ht="15.6" x14ac:dyDescent="0.3">
      <c r="A37" s="307"/>
      <c r="B37" s="258" t="s">
        <v>19</v>
      </c>
      <c r="C37" s="356">
        <v>1.03938E-2</v>
      </c>
      <c r="D37" s="258"/>
      <c r="E37" s="356">
        <v>2.1393800000000001E-2</v>
      </c>
      <c r="F37" s="304"/>
      <c r="G37" s="356">
        <v>2.6393799999999999E-2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0.74106483309441407</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40406</v>
      </c>
      <c r="N47" s="264"/>
      <c r="O47" s="6"/>
    </row>
    <row r="48" spans="1:15" ht="15.6" x14ac:dyDescent="0.3">
      <c r="A48" s="307"/>
      <c r="B48" s="258" t="s">
        <v>26</v>
      </c>
      <c r="C48" s="258"/>
      <c r="D48" s="258"/>
      <c r="E48" s="258"/>
      <c r="F48" s="258"/>
      <c r="G48" s="258"/>
      <c r="H48" s="258"/>
      <c r="I48" s="258"/>
      <c r="J48" s="258">
        <f>M48-K48+1</f>
        <v>91</v>
      </c>
      <c r="K48" s="360">
        <v>40224</v>
      </c>
      <c r="L48" s="361"/>
      <c r="M48" s="360">
        <v>40314</v>
      </c>
      <c r="N48" s="264"/>
      <c r="O48" s="6"/>
    </row>
    <row r="49" spans="1:15" ht="15.6" x14ac:dyDescent="0.3">
      <c r="A49" s="307"/>
      <c r="B49" s="258" t="s">
        <v>27</v>
      </c>
      <c r="C49" s="258"/>
      <c r="D49" s="258"/>
      <c r="E49" s="258"/>
      <c r="F49" s="258"/>
      <c r="G49" s="258"/>
      <c r="H49" s="258"/>
      <c r="I49" s="258"/>
      <c r="J49" s="258">
        <f>M49-K49+1</f>
        <v>91</v>
      </c>
      <c r="K49" s="360">
        <v>40315</v>
      </c>
      <c r="L49" s="361"/>
      <c r="M49" s="360">
        <v>40405</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40392</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245</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169609</v>
      </c>
      <c r="F58" s="256"/>
      <c r="G58" s="256">
        <f>5890+1610+56</f>
        <v>7556</v>
      </c>
      <c r="H58" s="256"/>
      <c r="I58" s="256">
        <v>56</v>
      </c>
      <c r="J58" s="256"/>
      <c r="K58" s="256">
        <v>0</v>
      </c>
      <c r="L58" s="256"/>
      <c r="M58" s="260">
        <f>E58-G58+I58-K58</f>
        <v>162109</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169609</v>
      </c>
      <c r="F62" s="256"/>
      <c r="G62" s="256">
        <f>SUM(G58:G61)</f>
        <v>7556</v>
      </c>
      <c r="H62" s="256"/>
      <c r="I62" s="256">
        <f>SUM(I58:I61)</f>
        <v>56</v>
      </c>
      <c r="J62" s="256"/>
      <c r="K62" s="256">
        <f>SUM(K58:K61)</f>
        <v>0</v>
      </c>
      <c r="L62" s="256"/>
      <c r="M62" s="256">
        <f>SUM(M58:M61)</f>
        <v>162109</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169609</v>
      </c>
      <c r="F75" s="256"/>
      <c r="G75" s="256"/>
      <c r="H75" s="256"/>
      <c r="I75" s="256"/>
      <c r="J75" s="256"/>
      <c r="K75" s="256"/>
      <c r="L75" s="256"/>
      <c r="M75" s="256">
        <f>SUM(M62:M74)</f>
        <v>162109</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40389</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7556-1610</f>
        <v>5946</v>
      </c>
      <c r="L80" s="258"/>
      <c r="M80" s="260"/>
      <c r="N80" s="264"/>
      <c r="O80" s="6"/>
    </row>
    <row r="81" spans="1:16" ht="15.6" x14ac:dyDescent="0.3">
      <c r="A81" s="307"/>
      <c r="B81" s="258" t="s">
        <v>204</v>
      </c>
      <c r="C81" s="290"/>
      <c r="D81" s="325"/>
      <c r="E81" s="326"/>
      <c r="F81" s="258"/>
      <c r="G81" s="258"/>
      <c r="H81" s="258"/>
      <c r="I81" s="258"/>
      <c r="J81" s="258"/>
      <c r="K81" s="256"/>
      <c r="L81" s="258"/>
      <c r="M81" s="260">
        <f>6441+24-2534</f>
        <v>3931</v>
      </c>
      <c r="N81" s="264"/>
      <c r="O81" s="6"/>
    </row>
    <row r="82" spans="1:16" ht="15.6" x14ac:dyDescent="0.3">
      <c r="A82" s="307"/>
      <c r="B82" s="258" t="s">
        <v>205</v>
      </c>
      <c r="C82" s="290"/>
      <c r="D82" s="325"/>
      <c r="E82" s="326"/>
      <c r="F82" s="258"/>
      <c r="G82" s="258"/>
      <c r="H82" s="258"/>
      <c r="I82" s="258"/>
      <c r="J82" s="258"/>
      <c r="K82" s="256"/>
      <c r="L82" s="258"/>
      <c r="M82" s="260">
        <v>303</v>
      </c>
      <c r="N82" s="264"/>
      <c r="O82" s="6"/>
    </row>
    <row r="83" spans="1:16" ht="15.6" x14ac:dyDescent="0.3">
      <c r="A83" s="307"/>
      <c r="B83" s="258" t="s">
        <v>206</v>
      </c>
      <c r="C83" s="290"/>
      <c r="D83" s="325"/>
      <c r="E83" s="326"/>
      <c r="F83" s="258"/>
      <c r="G83" s="258"/>
      <c r="H83" s="258"/>
      <c r="I83" s="258"/>
      <c r="J83" s="258"/>
      <c r="K83" s="256"/>
      <c r="L83" s="258"/>
      <c r="M83" s="260">
        <v>24</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5946</v>
      </c>
      <c r="L85" s="258"/>
      <c r="M85" s="256">
        <f>SUM(M79:M84)</f>
        <v>4258</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5946</v>
      </c>
      <c r="L87" s="258"/>
      <c r="M87" s="256">
        <f>M85+M86</f>
        <v>4258</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-64-87-2</f>
        <v>-153</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-275</v>
      </c>
      <c r="N93" s="311"/>
      <c r="O93" s="6"/>
    </row>
    <row r="94" spans="1:16" ht="15.6" x14ac:dyDescent="0.3">
      <c r="A94" s="255">
        <v>5</v>
      </c>
      <c r="B94" s="258" t="s">
        <v>52</v>
      </c>
      <c r="C94" s="258"/>
      <c r="D94" s="258"/>
      <c r="E94" s="258"/>
      <c r="F94" s="258"/>
      <c r="G94" s="258"/>
      <c r="H94" s="258"/>
      <c r="I94" s="258"/>
      <c r="J94" s="258"/>
      <c r="K94" s="258"/>
      <c r="L94" s="258"/>
      <c r="M94" s="260">
        <v>-230</v>
      </c>
      <c r="N94" s="311"/>
      <c r="O94" s="6"/>
    </row>
    <row r="95" spans="1:16" ht="15.6" x14ac:dyDescent="0.3">
      <c r="A95" s="255">
        <v>6</v>
      </c>
      <c r="B95" s="258" t="s">
        <v>172</v>
      </c>
      <c r="C95" s="258"/>
      <c r="D95" s="258"/>
      <c r="E95" s="258"/>
      <c r="F95" s="258"/>
      <c r="G95" s="258"/>
      <c r="H95" s="258"/>
      <c r="I95" s="258"/>
      <c r="J95" s="258"/>
      <c r="K95" s="258"/>
      <c r="L95" s="258"/>
      <c r="M95" s="260">
        <v>-181</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1610</v>
      </c>
      <c r="L97" s="258"/>
      <c r="M97" s="260">
        <v>-1610</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-64</v>
      </c>
      <c r="N101" s="311"/>
      <c r="O101" s="6"/>
    </row>
    <row r="102" spans="1:16" ht="15.6" x14ac:dyDescent="0.3">
      <c r="A102" s="255">
        <v>13</v>
      </c>
      <c r="B102" s="258" t="s">
        <v>195</v>
      </c>
      <c r="C102" s="258"/>
      <c r="D102" s="258"/>
      <c r="E102" s="258"/>
      <c r="F102" s="258"/>
      <c r="G102" s="258"/>
      <c r="H102" s="258"/>
      <c r="I102" s="258"/>
      <c r="J102" s="258"/>
      <c r="K102" s="258"/>
      <c r="L102" s="258"/>
      <c r="M102" s="260">
        <f>-M87-SUM(M89:M101)</f>
        <v>-1736</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-56</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-7500</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f>
        <v>-7556</v>
      </c>
      <c r="L110" s="256"/>
      <c r="M110" s="256">
        <f>SUM(M88:M109)</f>
        <v>-4258</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JULY 2010</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526</v>
      </c>
      <c r="N137" s="264"/>
      <c r="O137" s="6"/>
    </row>
    <row r="138" spans="1:15" ht="15.6" x14ac:dyDescent="0.3">
      <c r="A138" s="307"/>
      <c r="B138" s="258" t="s">
        <v>180</v>
      </c>
      <c r="C138" s="258"/>
      <c r="D138" s="258"/>
      <c r="E138" s="258"/>
      <c r="F138" s="258"/>
      <c r="G138" s="258"/>
      <c r="H138" s="258"/>
      <c r="I138" s="258"/>
      <c r="J138" s="258"/>
      <c r="K138" s="258"/>
      <c r="L138" s="258"/>
      <c r="M138" s="260">
        <f>1444-360</f>
        <v>1084</v>
      </c>
      <c r="N138" s="264"/>
      <c r="O138" s="6"/>
    </row>
    <row r="139" spans="1:15" ht="15.6" x14ac:dyDescent="0.3">
      <c r="A139" s="307"/>
      <c r="B139" s="258" t="s">
        <v>77</v>
      </c>
      <c r="C139" s="258"/>
      <c r="D139" s="258"/>
      <c r="E139" s="258"/>
      <c r="F139" s="258"/>
      <c r="G139" s="258"/>
      <c r="H139" s="258"/>
      <c r="I139" s="258"/>
      <c r="J139" s="258"/>
      <c r="K139" s="258"/>
      <c r="L139" s="258"/>
      <c r="M139" s="260">
        <f>M137+M136+M138</f>
        <v>1610</v>
      </c>
      <c r="N139" s="264"/>
      <c r="O139" s="6"/>
    </row>
    <row r="140" spans="1:15" ht="15.6" x14ac:dyDescent="0.3">
      <c r="A140" s="307"/>
      <c r="B140" s="258" t="s">
        <v>183</v>
      </c>
      <c r="C140" s="258"/>
      <c r="D140" s="258"/>
      <c r="E140" s="258"/>
      <c r="F140" s="258"/>
      <c r="G140" s="258"/>
      <c r="H140" s="258"/>
      <c r="I140" s="303"/>
      <c r="J140" s="258"/>
      <c r="K140" s="258"/>
      <c r="L140" s="258"/>
      <c r="M140" s="260">
        <f>M97</f>
        <v>-1610</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162109</v>
      </c>
      <c r="N146" s="318"/>
      <c r="O146" s="6"/>
      <c r="P146" s="117"/>
    </row>
    <row r="147" spans="1:16" ht="15.6" x14ac:dyDescent="0.3">
      <c r="A147" s="307"/>
      <c r="B147" s="258" t="s">
        <v>80</v>
      </c>
      <c r="C147" s="319"/>
      <c r="D147" s="319"/>
      <c r="E147" s="258"/>
      <c r="F147" s="258"/>
      <c r="G147" s="258"/>
      <c r="H147" s="258"/>
      <c r="I147" s="258"/>
      <c r="J147" s="258"/>
      <c r="K147" s="258"/>
      <c r="L147" s="258"/>
      <c r="M147" s="260">
        <f>M75</f>
        <v>162109</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+'April 2010'!I155</f>
        <v>7487</v>
      </c>
      <c r="J152" s="258"/>
      <c r="K152" s="260">
        <v>0</v>
      </c>
      <c r="L152" s="258"/>
      <c r="M152" s="260">
        <f>K152+I152</f>
        <v>7487</v>
      </c>
      <c r="N152" s="311"/>
      <c r="O152" s="6"/>
    </row>
    <row r="153" spans="1:16" ht="15.6" x14ac:dyDescent="0.3">
      <c r="A153" s="307"/>
      <c r="B153" s="258" t="s">
        <v>84</v>
      </c>
      <c r="C153" s="258"/>
      <c r="D153" s="258"/>
      <c r="E153" s="258"/>
      <c r="F153" s="258"/>
      <c r="G153" s="258"/>
      <c r="H153" s="258"/>
      <c r="I153" s="256">
        <v>56</v>
      </c>
      <c r="J153" s="258"/>
      <c r="K153" s="258">
        <v>0</v>
      </c>
      <c r="L153" s="258"/>
      <c r="M153" s="260">
        <f>K153+I153</f>
        <v>56</v>
      </c>
      <c r="N153" s="311"/>
      <c r="O153" s="6"/>
    </row>
    <row r="154" spans="1:16" ht="15.6" x14ac:dyDescent="0.3">
      <c r="A154" s="307"/>
      <c r="B154" s="258" t="s">
        <v>85</v>
      </c>
      <c r="C154" s="258"/>
      <c r="D154" s="258"/>
      <c r="E154" s="258"/>
      <c r="F154" s="258"/>
      <c r="G154" s="258"/>
      <c r="H154" s="258"/>
      <c r="I154" s="260">
        <f>I152+I153</f>
        <v>7543</v>
      </c>
      <c r="J154" s="258"/>
      <c r="K154" s="260">
        <f>K153+K152</f>
        <v>0</v>
      </c>
      <c r="L154" s="258"/>
      <c r="M154" s="260">
        <f>K154+I154</f>
        <v>7543</v>
      </c>
      <c r="N154" s="311"/>
      <c r="O154" s="6"/>
    </row>
    <row r="155" spans="1:16" ht="15.6" x14ac:dyDescent="0.3">
      <c r="A155" s="307"/>
      <c r="B155" s="258" t="s">
        <v>86</v>
      </c>
      <c r="C155" s="258"/>
      <c r="D155" s="258"/>
      <c r="E155" s="258"/>
      <c r="F155" s="258"/>
      <c r="G155" s="258"/>
      <c r="H155" s="258"/>
      <c r="I155" s="260">
        <f>I151-I154-K154</f>
        <v>7457</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14.92</v>
      </c>
      <c r="N159" s="264" t="s">
        <v>145</v>
      </c>
      <c r="O159" s="6"/>
    </row>
    <row r="160" spans="1:16" ht="15.6" x14ac:dyDescent="0.3">
      <c r="A160" s="307"/>
      <c r="B160" s="258" t="s">
        <v>89</v>
      </c>
      <c r="C160" s="258"/>
      <c r="D160" s="258"/>
      <c r="E160" s="258"/>
      <c r="F160" s="258"/>
      <c r="G160" s="258"/>
      <c r="H160" s="258"/>
      <c r="I160" s="258"/>
      <c r="J160" s="258"/>
      <c r="K160" s="258"/>
      <c r="L160" s="258"/>
      <c r="M160" s="309">
        <v>2.87</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16.643478260869564</v>
      </c>
      <c r="N161" s="264" t="s">
        <v>145</v>
      </c>
      <c r="O161" s="6"/>
    </row>
    <row r="162" spans="1:15" ht="15.6" x14ac:dyDescent="0.3">
      <c r="A162" s="307"/>
      <c r="B162" s="258" t="s">
        <v>91</v>
      </c>
      <c r="C162" s="258"/>
      <c r="D162" s="258"/>
      <c r="E162" s="258"/>
      <c r="F162" s="258"/>
      <c r="G162" s="258"/>
      <c r="H162" s="258"/>
      <c r="I162" s="258"/>
      <c r="J162" s="258"/>
      <c r="K162" s="258"/>
      <c r="L162" s="258"/>
      <c r="M162" s="310">
        <v>8.52</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19.878453038674031</v>
      </c>
      <c r="N163" s="264" t="s">
        <v>145</v>
      </c>
      <c r="O163" s="6"/>
    </row>
    <row r="164" spans="1:15" ht="15.6" x14ac:dyDescent="0.3">
      <c r="A164" s="307"/>
      <c r="B164" s="258" t="s">
        <v>182</v>
      </c>
      <c r="C164" s="258"/>
      <c r="D164" s="258"/>
      <c r="E164" s="258"/>
      <c r="F164" s="258"/>
      <c r="G164" s="258"/>
      <c r="H164" s="258"/>
      <c r="I164" s="258"/>
      <c r="J164" s="258"/>
      <c r="K164" s="258"/>
      <c r="L164" s="258"/>
      <c r="M164" s="310">
        <v>11.07</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JULY 2010</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f>D78</f>
        <v>40389</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9.5299999999999996E-2</v>
      </c>
      <c r="L174" s="258"/>
      <c r="M174" s="258"/>
      <c r="N174" s="264"/>
      <c r="O174" s="6"/>
    </row>
    <row r="175" spans="1:15" ht="15.6" x14ac:dyDescent="0.3">
      <c r="A175" s="301"/>
      <c r="B175" s="258" t="s">
        <v>97</v>
      </c>
      <c r="C175" s="302"/>
      <c r="D175" s="302"/>
      <c r="E175" s="302"/>
      <c r="F175" s="302"/>
      <c r="G175" s="302"/>
      <c r="H175" s="303"/>
      <c r="I175" s="303"/>
      <c r="J175" s="303"/>
      <c r="K175" s="304">
        <f>M36</f>
        <v>1.6233436631678411E-2</v>
      </c>
      <c r="L175" s="258"/>
      <c r="M175" s="258"/>
      <c r="N175" s="264"/>
      <c r="O175" s="6"/>
    </row>
    <row r="176" spans="1:15" ht="15.6" x14ac:dyDescent="0.3">
      <c r="A176" s="301"/>
      <c r="B176" s="258" t="s">
        <v>98</v>
      </c>
      <c r="C176" s="302"/>
      <c r="D176" s="302"/>
      <c r="E176" s="302"/>
      <c r="F176" s="302"/>
      <c r="G176" s="302"/>
      <c r="H176" s="303"/>
      <c r="I176" s="303"/>
      <c r="J176" s="303"/>
      <c r="K176" s="304">
        <f>K174-K175</f>
        <v>7.9066563368321588E-2</v>
      </c>
      <c r="L176" s="258"/>
      <c r="M176" s="258"/>
      <c r="N176" s="264"/>
      <c r="O176" s="6"/>
    </row>
    <row r="177" spans="1:15" ht="15.6" x14ac:dyDescent="0.3">
      <c r="A177" s="301"/>
      <c r="B177" s="258" t="s">
        <v>211</v>
      </c>
      <c r="C177" s="302"/>
      <c r="D177" s="302"/>
      <c r="E177" s="302"/>
      <c r="F177" s="302"/>
      <c r="G177" s="302"/>
      <c r="H177" s="303"/>
      <c r="I177" s="303"/>
      <c r="J177" s="303"/>
      <c r="K177" s="304">
        <f>(+M87+M89)/E58</f>
        <v>2.5104799863214806E-2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13.97</v>
      </c>
      <c r="L182" s="258" t="s">
        <v>139</v>
      </c>
      <c r="M182" s="258"/>
      <c r="N182" s="264"/>
      <c r="O182" s="6"/>
    </row>
    <row r="183" spans="1:15" ht="15.6" x14ac:dyDescent="0.3">
      <c r="A183" s="301"/>
      <c r="B183" s="258" t="s">
        <v>103</v>
      </c>
      <c r="C183" s="302"/>
      <c r="D183" s="302"/>
      <c r="E183" s="302"/>
      <c r="F183" s="302"/>
      <c r="G183" s="302"/>
      <c r="H183" s="303"/>
      <c r="I183" s="303"/>
      <c r="J183" s="303"/>
      <c r="K183" s="304">
        <f>K80/E58</f>
        <v>3.5057101922657409E-2</v>
      </c>
      <c r="L183" s="258"/>
      <c r="M183" s="258"/>
      <c r="N183" s="264"/>
      <c r="O183" s="6"/>
    </row>
    <row r="184" spans="1:15" ht="15.6" x14ac:dyDescent="0.3">
      <c r="A184" s="301"/>
      <c r="B184" s="258" t="s">
        <v>104</v>
      </c>
      <c r="C184" s="302"/>
      <c r="D184" s="302"/>
      <c r="E184" s="302"/>
      <c r="F184" s="302"/>
      <c r="G184" s="302"/>
      <c r="H184" s="303"/>
      <c r="I184" s="303"/>
      <c r="J184" s="303"/>
      <c r="K184" s="304">
        <v>0.29899999999999999</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894</v>
      </c>
      <c r="K187" s="369">
        <v>24992</v>
      </c>
      <c r="L187" s="217"/>
      <c r="M187" s="229"/>
      <c r="N187" s="230"/>
      <c r="O187" s="6"/>
    </row>
    <row r="188" spans="1:15" ht="15.6" x14ac:dyDescent="0.3">
      <c r="A188" s="275"/>
      <c r="B188" s="258" t="s">
        <v>196</v>
      </c>
      <c r="C188" s="256"/>
      <c r="D188" s="256"/>
      <c r="E188" s="256"/>
      <c r="F188" s="256"/>
      <c r="G188" s="258"/>
      <c r="H188" s="258"/>
      <c r="I188" s="258"/>
      <c r="J188" s="276">
        <v>8</v>
      </c>
      <c r="K188" s="277">
        <v>255</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56</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87" t="s">
        <v>110</v>
      </c>
      <c r="C192" s="288"/>
      <c r="D192" s="288"/>
      <c r="E192" s="287"/>
      <c r="F192" s="287"/>
      <c r="G192" s="287"/>
      <c r="H192" s="287"/>
      <c r="I192" s="287"/>
      <c r="J192" s="287"/>
      <c r="K192" s="289">
        <f>+M139</f>
        <v>1610</v>
      </c>
      <c r="L192" s="287"/>
      <c r="M192" s="281"/>
      <c r="N192" s="286"/>
      <c r="O192" s="6"/>
    </row>
    <row r="193" spans="1:15" ht="15.6" x14ac:dyDescent="0.3">
      <c r="A193" s="275"/>
      <c r="B193" s="287" t="s">
        <v>111</v>
      </c>
      <c r="C193" s="288"/>
      <c r="D193" s="288"/>
      <c r="E193" s="288"/>
      <c r="F193" s="288"/>
      <c r="G193" s="288"/>
      <c r="H193" s="287"/>
      <c r="I193" s="287"/>
      <c r="J193" s="287"/>
      <c r="K193" s="289">
        <f>'April 2010'!K194+'July 2010'!K192</f>
        <v>22631</v>
      </c>
      <c r="L193" s="287"/>
      <c r="M193" s="281"/>
      <c r="N193" s="286"/>
      <c r="O193" s="6"/>
    </row>
    <row r="194" spans="1:15" ht="15.6" x14ac:dyDescent="0.3">
      <c r="A194" s="275"/>
      <c r="B194" s="287" t="s">
        <v>112</v>
      </c>
      <c r="C194" s="288"/>
      <c r="D194" s="288"/>
      <c r="E194" s="288"/>
      <c r="F194" s="288"/>
      <c r="G194" s="288"/>
      <c r="H194" s="287"/>
      <c r="I194" s="287"/>
      <c r="J194" s="287"/>
      <c r="K194" s="289">
        <f>+'April 2010'!K195+232</f>
        <v>5995</v>
      </c>
      <c r="L194" s="287"/>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9</v>
      </c>
      <c r="L196" s="258"/>
      <c r="M196" s="261"/>
      <c r="N196" s="286"/>
      <c r="O196" s="6"/>
    </row>
    <row r="197" spans="1:15" ht="15.6" x14ac:dyDescent="0.3">
      <c r="A197" s="275"/>
      <c r="B197" s="258" t="s">
        <v>113</v>
      </c>
      <c r="C197" s="256"/>
      <c r="D197" s="256"/>
      <c r="E197" s="290"/>
      <c r="F197" s="290"/>
      <c r="G197" s="291"/>
      <c r="H197" s="258"/>
      <c r="I197" s="258"/>
      <c r="J197" s="258"/>
      <c r="K197" s="292">
        <v>12.37</v>
      </c>
      <c r="L197" s="258"/>
      <c r="M197" s="261"/>
      <c r="N197" s="286"/>
      <c r="O197" s="6"/>
    </row>
    <row r="198" spans="1:15" ht="15.6" x14ac:dyDescent="0.3">
      <c r="A198" s="275"/>
      <c r="B198" s="258" t="s">
        <v>114</v>
      </c>
      <c r="C198" s="256"/>
      <c r="D198" s="256"/>
      <c r="E198" s="290"/>
      <c r="F198" s="290"/>
      <c r="G198" s="291"/>
      <c r="H198" s="258"/>
      <c r="I198" s="258"/>
      <c r="J198" s="258"/>
      <c r="K198" s="292">
        <v>4.38</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5768</v>
      </c>
      <c r="J203" s="232">
        <f>I203/I212</f>
        <v>0.86580606424497153</v>
      </c>
      <c r="K203" s="221">
        <v>137117</v>
      </c>
      <c r="L203" s="232">
        <f>K203/K212</f>
        <v>0.84583212529841034</v>
      </c>
      <c r="M203" s="228"/>
      <c r="N203" s="218"/>
      <c r="O203" s="6"/>
    </row>
    <row r="204" spans="1:15" ht="15.6" x14ac:dyDescent="0.3">
      <c r="A204" s="255"/>
      <c r="B204" s="256" t="s">
        <v>117</v>
      </c>
      <c r="C204" s="257"/>
      <c r="D204" s="257"/>
      <c r="E204" s="256"/>
      <c r="F204" s="257"/>
      <c r="G204" s="258"/>
      <c r="H204" s="259"/>
      <c r="I204" s="256">
        <v>283</v>
      </c>
      <c r="J204" s="259">
        <f>I204/I212</f>
        <v>4.247973581507055E-2</v>
      </c>
      <c r="K204" s="260">
        <v>7633</v>
      </c>
      <c r="L204" s="259">
        <f>K204/K212</f>
        <v>4.7085602896816341E-2</v>
      </c>
      <c r="M204" s="261"/>
      <c r="N204" s="263"/>
      <c r="O204" s="6"/>
    </row>
    <row r="205" spans="1:15" ht="15.6" x14ac:dyDescent="0.3">
      <c r="A205" s="255"/>
      <c r="B205" s="256" t="s">
        <v>118</v>
      </c>
      <c r="C205" s="257"/>
      <c r="D205" s="257"/>
      <c r="E205" s="256"/>
      <c r="F205" s="257"/>
      <c r="G205" s="258"/>
      <c r="H205" s="259"/>
      <c r="I205" s="256">
        <v>163</v>
      </c>
      <c r="J205" s="259">
        <f>I205/I212</f>
        <v>2.4467126988892224E-2</v>
      </c>
      <c r="K205" s="260">
        <v>4740</v>
      </c>
      <c r="L205" s="259">
        <f>K205/K212</f>
        <v>2.9239585710848875E-2</v>
      </c>
      <c r="M205" s="261"/>
      <c r="N205" s="263"/>
      <c r="O205" s="6"/>
    </row>
    <row r="206" spans="1:15" ht="15.6" x14ac:dyDescent="0.3">
      <c r="A206" s="255"/>
      <c r="B206" s="256" t="s">
        <v>167</v>
      </c>
      <c r="C206" s="257"/>
      <c r="D206" s="257"/>
      <c r="E206" s="256"/>
      <c r="F206" s="257"/>
      <c r="G206" s="258"/>
      <c r="H206" s="259"/>
      <c r="I206" s="256">
        <v>90</v>
      </c>
      <c r="J206" s="259">
        <f>I206/I212</f>
        <v>1.3509456619633743E-2</v>
      </c>
      <c r="K206" s="260">
        <v>2388</v>
      </c>
      <c r="L206" s="259">
        <f>K206/K212</f>
        <v>1.4730829256858039E-2</v>
      </c>
      <c r="M206" s="261"/>
      <c r="N206" s="262"/>
      <c r="O206" s="6"/>
    </row>
    <row r="207" spans="1:15" ht="15.6" x14ac:dyDescent="0.3">
      <c r="A207" s="255"/>
      <c r="B207" s="256" t="s">
        <v>168</v>
      </c>
      <c r="C207" s="257"/>
      <c r="D207" s="257"/>
      <c r="E207" s="256"/>
      <c r="F207" s="257"/>
      <c r="G207" s="258"/>
      <c r="H207" s="259"/>
      <c r="I207" s="256">
        <v>82</v>
      </c>
      <c r="J207" s="259">
        <f>I207/I212</f>
        <v>1.2308616031221855E-2</v>
      </c>
      <c r="K207" s="260">
        <v>2226</v>
      </c>
      <c r="L207" s="259">
        <f>K207/K212</f>
        <v>1.3731501643955609E-2</v>
      </c>
      <c r="M207" s="261"/>
      <c r="N207" s="262"/>
      <c r="O207" s="6"/>
    </row>
    <row r="208" spans="1:15" ht="15.6" x14ac:dyDescent="0.3">
      <c r="A208" s="255"/>
      <c r="B208" s="256" t="s">
        <v>169</v>
      </c>
      <c r="C208" s="257"/>
      <c r="D208" s="257"/>
      <c r="E208" s="256"/>
      <c r="F208" s="257"/>
      <c r="G208" s="258"/>
      <c r="H208" s="259"/>
      <c r="I208" s="256">
        <v>63</v>
      </c>
      <c r="J208" s="259">
        <f>I208/I212</f>
        <v>9.4566196337436213E-3</v>
      </c>
      <c r="K208" s="260">
        <v>1839</v>
      </c>
      <c r="L208" s="259">
        <f>K208/K212</f>
        <v>1.134421901313314E-2</v>
      </c>
      <c r="M208" s="261"/>
      <c r="N208" s="262"/>
      <c r="O208" s="6"/>
    </row>
    <row r="209" spans="1:15" ht="15.6" x14ac:dyDescent="0.3">
      <c r="A209" s="255"/>
      <c r="B209" s="256" t="s">
        <v>176</v>
      </c>
      <c r="C209" s="257"/>
      <c r="D209" s="257"/>
      <c r="E209" s="256"/>
      <c r="F209" s="257"/>
      <c r="G209" s="258"/>
      <c r="H209" s="259"/>
      <c r="I209" s="256">
        <v>132</v>
      </c>
      <c r="J209" s="259">
        <f>I209/I212</f>
        <v>1.9813869708796158E-2</v>
      </c>
      <c r="K209" s="260">
        <v>4075</v>
      </c>
      <c r="L209" s="259">
        <f>K209/K212</f>
        <v>2.5137407546774085E-2</v>
      </c>
      <c r="M209" s="261"/>
      <c r="N209" s="263"/>
      <c r="O209" s="6"/>
    </row>
    <row r="210" spans="1:15" ht="15.6" x14ac:dyDescent="0.3">
      <c r="A210" s="255"/>
      <c r="B210" s="256" t="s">
        <v>202</v>
      </c>
      <c r="C210" s="257"/>
      <c r="D210" s="257"/>
      <c r="E210" s="256"/>
      <c r="F210" s="257"/>
      <c r="G210" s="258"/>
      <c r="H210" s="259"/>
      <c r="I210" s="256">
        <v>81</v>
      </c>
      <c r="J210" s="259">
        <f>+I210/I212</f>
        <v>1.2158510957670369E-2</v>
      </c>
      <c r="K210" s="260">
        <v>2091</v>
      </c>
      <c r="L210" s="259">
        <f>+K210/K212</f>
        <v>1.2898728633203585E-2</v>
      </c>
      <c r="M210" s="261"/>
      <c r="N210" s="263"/>
      <c r="O210" s="6"/>
    </row>
    <row r="211" spans="1:15" ht="15.6" x14ac:dyDescent="0.3">
      <c r="A211" s="255"/>
      <c r="B211" s="256" t="s">
        <v>170</v>
      </c>
      <c r="C211" s="257"/>
      <c r="D211" s="257"/>
      <c r="E211" s="256"/>
      <c r="F211" s="257"/>
      <c r="G211" s="256"/>
      <c r="H211" s="259"/>
      <c r="I211" s="256">
        <v>0</v>
      </c>
      <c r="J211" s="259">
        <f>I211/I212</f>
        <v>0</v>
      </c>
      <c r="K211" s="260">
        <v>0</v>
      </c>
      <c r="L211" s="259">
        <f>+K211/K212</f>
        <v>0</v>
      </c>
      <c r="M211" s="261"/>
      <c r="N211" s="263"/>
      <c r="O211" s="6"/>
    </row>
    <row r="212" spans="1:15" ht="15.6" x14ac:dyDescent="0.3">
      <c r="A212" s="255"/>
      <c r="B212" s="258" t="s">
        <v>189</v>
      </c>
      <c r="C212" s="258"/>
      <c r="D212" s="258"/>
      <c r="E212" s="258"/>
      <c r="F212" s="258"/>
      <c r="G212" s="256"/>
      <c r="H212" s="258"/>
      <c r="I212" s="256">
        <f>SUM(I203:I211)</f>
        <v>6662</v>
      </c>
      <c r="J212" s="259">
        <f>SUM(J203:J211)</f>
        <v>1.0000000000000002</v>
      </c>
      <c r="K212" s="260">
        <f>SUM(K203:K211)</f>
        <v>162109</v>
      </c>
      <c r="L212" s="259">
        <f>SUM(L203:L211)</f>
        <v>1</v>
      </c>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1.0537000000000001</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JULY 2010</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phoneticPr fontId="0" type="noConversion"/>
  <hyperlinks>
    <hyperlink ref="I10" r:id="rId1" xr:uid="{00000000-0004-0000-1500-000000000000}"/>
    <hyperlink ref="K200" r:id="rId2" xr:uid="{00000000-0004-0000-15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89CB31"/>
  </sheetPr>
  <dimension ref="A1:P225"/>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5.6" x14ac:dyDescent="0.3">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40500</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62" t="s">
        <v>131</v>
      </c>
      <c r="D23" s="362"/>
      <c r="E23" s="362" t="s">
        <v>124</v>
      </c>
      <c r="F23" s="362"/>
      <c r="G23" s="362" t="s">
        <v>152</v>
      </c>
      <c r="H23" s="362"/>
      <c r="I23" s="362"/>
      <c r="J23" s="363"/>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121</v>
      </c>
      <c r="D27" s="341"/>
      <c r="E27" s="341" t="s">
        <v>125</v>
      </c>
      <c r="F27" s="341"/>
      <c r="G27" s="341" t="s">
        <v>239</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93109.262399999992</v>
      </c>
      <c r="D31" s="345"/>
      <c r="E31" s="344">
        <v>42000</v>
      </c>
      <c r="F31" s="344"/>
      <c r="G31" s="344">
        <v>27000</v>
      </c>
      <c r="H31" s="346"/>
      <c r="I31" s="346"/>
      <c r="J31" s="346"/>
      <c r="K31" s="346"/>
      <c r="L31" s="347"/>
      <c r="M31" s="344">
        <f>C31+E31+G31</f>
        <v>162109.26240000001</v>
      </c>
      <c r="N31" s="348"/>
      <c r="O31" s="6"/>
    </row>
    <row r="32" spans="1:15" ht="15.6" x14ac:dyDescent="0.3">
      <c r="A32" s="340"/>
      <c r="B32" s="319" t="s">
        <v>16</v>
      </c>
      <c r="C32" s="349">
        <f>C30*C33</f>
        <v>86548.631399999998</v>
      </c>
      <c r="D32" s="350"/>
      <c r="E32" s="349">
        <v>42000</v>
      </c>
      <c r="F32" s="349"/>
      <c r="G32" s="349">
        <v>27000</v>
      </c>
      <c r="H32" s="351"/>
      <c r="I32" s="351"/>
      <c r="J32" s="351"/>
      <c r="K32" s="351"/>
      <c r="L32" s="352"/>
      <c r="M32" s="344">
        <f>C32+E32+G32</f>
        <v>155548.63140000001</v>
      </c>
      <c r="N32" s="348"/>
      <c r="O32" s="6"/>
    </row>
    <row r="33" spans="1:15" ht="15.6" x14ac:dyDescent="0.3">
      <c r="A33" s="340"/>
      <c r="B33" s="278" t="s">
        <v>174</v>
      </c>
      <c r="C33" s="353">
        <v>0.37466939999999999</v>
      </c>
      <c r="D33" s="354"/>
      <c r="E33" s="353">
        <v>1</v>
      </c>
      <c r="F33" s="353"/>
      <c r="G33" s="353">
        <v>1</v>
      </c>
      <c r="H33" s="355"/>
      <c r="I33" s="355"/>
      <c r="J33" s="351"/>
      <c r="K33" s="351"/>
      <c r="L33" s="352"/>
      <c r="M33" s="351"/>
      <c r="N33" s="348"/>
      <c r="O33" s="6"/>
    </row>
    <row r="34" spans="1:15" ht="15.6" x14ac:dyDescent="0.3">
      <c r="A34" s="340"/>
      <c r="B34" s="278" t="s">
        <v>175</v>
      </c>
      <c r="C34" s="353">
        <v>0.4030704</v>
      </c>
      <c r="D34" s="354"/>
      <c r="E34" s="353">
        <v>1</v>
      </c>
      <c r="F34" s="353"/>
      <c r="G34" s="353">
        <v>1</v>
      </c>
      <c r="H34" s="355"/>
      <c r="I34" s="355"/>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1.1299999999999999E-2</v>
      </c>
      <c r="D36" s="258"/>
      <c r="E36" s="356">
        <v>2.23E-2</v>
      </c>
      <c r="F36" s="304"/>
      <c r="G36" s="356">
        <v>2.7300000000000001E-2</v>
      </c>
      <c r="H36" s="304"/>
      <c r="I36" s="356"/>
      <c r="J36" s="304"/>
      <c r="K36" s="356"/>
      <c r="L36" s="321"/>
      <c r="M36" s="304">
        <f>SUMPRODUCT(C36:G36,C31:G31)/M31</f>
        <v>1.6814799011262416E-2</v>
      </c>
      <c r="N36" s="264"/>
      <c r="O36" s="6"/>
    </row>
    <row r="37" spans="1:15" ht="15.6" x14ac:dyDescent="0.3">
      <c r="A37" s="307"/>
      <c r="B37" s="258" t="s">
        <v>19</v>
      </c>
      <c r="C37" s="356">
        <v>1.09625E-2</v>
      </c>
      <c r="D37" s="258"/>
      <c r="E37" s="356">
        <v>2.1962499999999999E-2</v>
      </c>
      <c r="F37" s="304"/>
      <c r="G37" s="356">
        <v>2.69625E-2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0.79723964300607075</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40497</v>
      </c>
      <c r="N47" s="264"/>
      <c r="O47" s="6"/>
    </row>
    <row r="48" spans="1:15" ht="15.6" x14ac:dyDescent="0.3">
      <c r="A48" s="307"/>
      <c r="B48" s="258" t="s">
        <v>26</v>
      </c>
      <c r="C48" s="258"/>
      <c r="D48" s="258"/>
      <c r="E48" s="258"/>
      <c r="F48" s="258"/>
      <c r="G48" s="258"/>
      <c r="H48" s="258"/>
      <c r="I48" s="258"/>
      <c r="J48" s="258">
        <f>M48-K48+1</f>
        <v>91</v>
      </c>
      <c r="K48" s="360">
        <v>40315</v>
      </c>
      <c r="L48" s="361"/>
      <c r="M48" s="360">
        <v>40405</v>
      </c>
      <c r="N48" s="264"/>
      <c r="O48" s="6"/>
    </row>
    <row r="49" spans="1:15" ht="15.6" x14ac:dyDescent="0.3">
      <c r="A49" s="307"/>
      <c r="B49" s="258" t="s">
        <v>27</v>
      </c>
      <c r="C49" s="258"/>
      <c r="D49" s="258"/>
      <c r="E49" s="258"/>
      <c r="F49" s="258"/>
      <c r="G49" s="258"/>
      <c r="H49" s="258"/>
      <c r="I49" s="258"/>
      <c r="J49" s="258">
        <f>M49-K49+1</f>
        <v>91</v>
      </c>
      <c r="K49" s="360">
        <v>40406</v>
      </c>
      <c r="L49" s="361"/>
      <c r="M49" s="360">
        <v>40496</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40483</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246</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162109</v>
      </c>
      <c r="F58" s="256"/>
      <c r="G58" s="256">
        <f>5441+1119+75</f>
        <v>6635</v>
      </c>
      <c r="H58" s="256"/>
      <c r="I58" s="256">
        <v>75</v>
      </c>
      <c r="J58" s="256"/>
      <c r="K58" s="256">
        <v>0</v>
      </c>
      <c r="L58" s="256"/>
      <c r="M58" s="260">
        <f>E58-G58+I58-K58</f>
        <v>155549</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162109</v>
      </c>
      <c r="F62" s="256"/>
      <c r="G62" s="256">
        <f>SUM(G58:G61)</f>
        <v>6635</v>
      </c>
      <c r="H62" s="256"/>
      <c r="I62" s="256">
        <f>SUM(I58:I61)</f>
        <v>75</v>
      </c>
      <c r="J62" s="256"/>
      <c r="K62" s="256">
        <f>SUM(K58:K61)</f>
        <v>0</v>
      </c>
      <c r="L62" s="256"/>
      <c r="M62" s="256">
        <f>SUM(M58:M61)</f>
        <v>155549</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162109</v>
      </c>
      <c r="F75" s="256"/>
      <c r="G75" s="256"/>
      <c r="H75" s="256"/>
      <c r="I75" s="256"/>
      <c r="J75" s="256"/>
      <c r="K75" s="256"/>
      <c r="L75" s="256"/>
      <c r="M75" s="256">
        <f>SUM(M62:M74)</f>
        <v>155549</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40480</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6635-1119</f>
        <v>5516</v>
      </c>
      <c r="L80" s="258"/>
      <c r="M80" s="260"/>
      <c r="N80" s="264"/>
      <c r="O80" s="6"/>
    </row>
    <row r="81" spans="1:16" ht="15.6" x14ac:dyDescent="0.3">
      <c r="A81" s="307"/>
      <c r="B81" s="258" t="s">
        <v>204</v>
      </c>
      <c r="C81" s="290"/>
      <c r="D81" s="325"/>
      <c r="E81" s="326"/>
      <c r="F81" s="258"/>
      <c r="G81" s="258"/>
      <c r="H81" s="258"/>
      <c r="I81" s="258"/>
      <c r="J81" s="258"/>
      <c r="K81" s="256"/>
      <c r="L81" s="258"/>
      <c r="M81" s="260">
        <f>6124+24-2740</f>
        <v>3408</v>
      </c>
      <c r="N81" s="264"/>
      <c r="O81" s="6"/>
    </row>
    <row r="82" spans="1:16" ht="15.6" x14ac:dyDescent="0.3">
      <c r="A82" s="307"/>
      <c r="B82" s="258" t="s">
        <v>205</v>
      </c>
      <c r="C82" s="290"/>
      <c r="D82" s="325"/>
      <c r="E82" s="326"/>
      <c r="F82" s="258"/>
      <c r="G82" s="258"/>
      <c r="H82" s="258"/>
      <c r="I82" s="258"/>
      <c r="J82" s="258"/>
      <c r="K82" s="256"/>
      <c r="L82" s="258"/>
      <c r="M82" s="260">
        <v>216</v>
      </c>
      <c r="N82" s="264"/>
      <c r="O82" s="6"/>
    </row>
    <row r="83" spans="1:16" ht="15.6" x14ac:dyDescent="0.3">
      <c r="A83" s="307"/>
      <c r="B83" s="258" t="s">
        <v>206</v>
      </c>
      <c r="C83" s="290"/>
      <c r="D83" s="325"/>
      <c r="E83" s="326"/>
      <c r="F83" s="258"/>
      <c r="G83" s="258"/>
      <c r="H83" s="258"/>
      <c r="I83" s="258"/>
      <c r="J83" s="258"/>
      <c r="K83" s="256"/>
      <c r="L83" s="258"/>
      <c r="M83" s="260">
        <v>30</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5516</v>
      </c>
      <c r="L85" s="258"/>
      <c r="M85" s="256">
        <f>SUM(M79:M84)</f>
        <v>3654</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5516</v>
      </c>
      <c r="L87" s="258"/>
      <c r="M87" s="256">
        <f>M85+M86</f>
        <v>3654</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-62-77-2</f>
        <v>-141</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-262</v>
      </c>
      <c r="N93" s="311"/>
      <c r="O93" s="6"/>
    </row>
    <row r="94" spans="1:16" ht="15.6" x14ac:dyDescent="0.3">
      <c r="A94" s="255">
        <v>5</v>
      </c>
      <c r="B94" s="258" t="s">
        <v>52</v>
      </c>
      <c r="C94" s="258"/>
      <c r="D94" s="258"/>
      <c r="E94" s="258"/>
      <c r="F94" s="258"/>
      <c r="G94" s="258"/>
      <c r="H94" s="258"/>
      <c r="I94" s="258"/>
      <c r="J94" s="258"/>
      <c r="K94" s="258"/>
      <c r="L94" s="258"/>
      <c r="M94" s="260">
        <v>-234</v>
      </c>
      <c r="N94" s="311"/>
      <c r="O94" s="6"/>
    </row>
    <row r="95" spans="1:16" ht="15.6" x14ac:dyDescent="0.3">
      <c r="A95" s="255">
        <v>6</v>
      </c>
      <c r="B95" s="258" t="s">
        <v>172</v>
      </c>
      <c r="C95" s="258"/>
      <c r="D95" s="258"/>
      <c r="E95" s="258"/>
      <c r="F95" s="258"/>
      <c r="G95" s="258"/>
      <c r="H95" s="258"/>
      <c r="I95" s="258"/>
      <c r="J95" s="258"/>
      <c r="K95" s="258"/>
      <c r="L95" s="258"/>
      <c r="M95" s="260">
        <v>-184</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1119</v>
      </c>
      <c r="L97" s="258"/>
      <c r="M97" s="260">
        <v>-1119</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-61</v>
      </c>
      <c r="N101" s="311"/>
      <c r="O101" s="6"/>
    </row>
    <row r="102" spans="1:16" ht="15.6" x14ac:dyDescent="0.3">
      <c r="A102" s="255">
        <v>13</v>
      </c>
      <c r="B102" s="258" t="s">
        <v>195</v>
      </c>
      <c r="C102" s="258"/>
      <c r="D102" s="258"/>
      <c r="E102" s="258"/>
      <c r="F102" s="258"/>
      <c r="G102" s="258"/>
      <c r="H102" s="258"/>
      <c r="I102" s="258"/>
      <c r="J102" s="258"/>
      <c r="K102" s="258"/>
      <c r="L102" s="258"/>
      <c r="M102" s="260">
        <f>-M87-SUM(M89:M101)</f>
        <v>-1644</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-75</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-6560</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f>
        <v>-6635</v>
      </c>
      <c r="L110" s="256"/>
      <c r="M110" s="256">
        <f>SUM(M88:M109)</f>
        <v>-3654</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OCTOBER 2010</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-208</v>
      </c>
      <c r="N137" s="264"/>
      <c r="O137" s="6"/>
    </row>
    <row r="138" spans="1:15" ht="15.6" x14ac:dyDescent="0.3">
      <c r="A138" s="307"/>
      <c r="B138" s="258" t="s">
        <v>180</v>
      </c>
      <c r="C138" s="258"/>
      <c r="D138" s="258"/>
      <c r="E138" s="258"/>
      <c r="F138" s="258"/>
      <c r="G138" s="258"/>
      <c r="H138" s="258"/>
      <c r="I138" s="258"/>
      <c r="J138" s="258"/>
      <c r="K138" s="258"/>
      <c r="L138" s="258"/>
      <c r="M138" s="260">
        <f>1229+98</f>
        <v>1327</v>
      </c>
      <c r="N138" s="264"/>
      <c r="O138" s="6"/>
    </row>
    <row r="139" spans="1:15" ht="15.6" x14ac:dyDescent="0.3">
      <c r="A139" s="307"/>
      <c r="B139" s="258" t="s">
        <v>77</v>
      </c>
      <c r="C139" s="258"/>
      <c r="D139" s="258"/>
      <c r="E139" s="258"/>
      <c r="F139" s="258"/>
      <c r="G139" s="258"/>
      <c r="H139" s="258"/>
      <c r="I139" s="258"/>
      <c r="J139" s="258"/>
      <c r="K139" s="258"/>
      <c r="L139" s="258"/>
      <c r="M139" s="260">
        <f>M137+M136+M138</f>
        <v>1119</v>
      </c>
      <c r="N139" s="264"/>
      <c r="O139" s="6"/>
    </row>
    <row r="140" spans="1:15" ht="15.6" x14ac:dyDescent="0.3">
      <c r="A140" s="307"/>
      <c r="B140" s="258" t="s">
        <v>183</v>
      </c>
      <c r="C140" s="258"/>
      <c r="D140" s="258"/>
      <c r="E140" s="258"/>
      <c r="F140" s="258"/>
      <c r="G140" s="258"/>
      <c r="H140" s="258"/>
      <c r="I140" s="303"/>
      <c r="J140" s="258"/>
      <c r="K140" s="258"/>
      <c r="L140" s="258"/>
      <c r="M140" s="260">
        <f>M97</f>
        <v>-1119</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155549</v>
      </c>
      <c r="N146" s="318"/>
      <c r="O146" s="6"/>
      <c r="P146" s="117"/>
    </row>
    <row r="147" spans="1:16" ht="15.6" x14ac:dyDescent="0.3">
      <c r="A147" s="307"/>
      <c r="B147" s="258" t="s">
        <v>80</v>
      </c>
      <c r="C147" s="319"/>
      <c r="D147" s="319"/>
      <c r="E147" s="258"/>
      <c r="F147" s="258"/>
      <c r="G147" s="258"/>
      <c r="H147" s="258"/>
      <c r="I147" s="258"/>
      <c r="J147" s="258"/>
      <c r="K147" s="258"/>
      <c r="L147" s="258"/>
      <c r="M147" s="260">
        <f>M75</f>
        <v>155549</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+'July 2010'!I154</f>
        <v>7543</v>
      </c>
      <c r="J152" s="258"/>
      <c r="K152" s="260">
        <v>0</v>
      </c>
      <c r="L152" s="258"/>
      <c r="M152" s="260">
        <f>K152+I152</f>
        <v>7543</v>
      </c>
      <c r="N152" s="311"/>
      <c r="O152" s="6"/>
    </row>
    <row r="153" spans="1:16" ht="15.6" x14ac:dyDescent="0.3">
      <c r="A153" s="307"/>
      <c r="B153" s="258" t="s">
        <v>84</v>
      </c>
      <c r="C153" s="258"/>
      <c r="D153" s="258"/>
      <c r="E153" s="258"/>
      <c r="F153" s="258"/>
      <c r="G153" s="258"/>
      <c r="H153" s="258"/>
      <c r="I153" s="256">
        <v>75</v>
      </c>
      <c r="J153" s="258"/>
      <c r="K153" s="258">
        <v>0</v>
      </c>
      <c r="L153" s="258"/>
      <c r="M153" s="260">
        <f>K153+I153</f>
        <v>75</v>
      </c>
      <c r="N153" s="311"/>
      <c r="O153" s="6"/>
    </row>
    <row r="154" spans="1:16" ht="15.6" x14ac:dyDescent="0.3">
      <c r="A154" s="307"/>
      <c r="B154" s="258" t="s">
        <v>85</v>
      </c>
      <c r="C154" s="258"/>
      <c r="D154" s="258"/>
      <c r="E154" s="258"/>
      <c r="F154" s="258"/>
      <c r="G154" s="258"/>
      <c r="H154" s="258"/>
      <c r="I154" s="260">
        <f>I152+I153</f>
        <v>7618</v>
      </c>
      <c r="J154" s="258"/>
      <c r="K154" s="260">
        <f>K153+K152</f>
        <v>0</v>
      </c>
      <c r="L154" s="258"/>
      <c r="M154" s="260">
        <f>K154+I154</f>
        <v>7618</v>
      </c>
      <c r="N154" s="311"/>
      <c r="O154" s="6"/>
    </row>
    <row r="155" spans="1:16" ht="15.6" x14ac:dyDescent="0.3">
      <c r="A155" s="307"/>
      <c r="B155" s="258" t="s">
        <v>86</v>
      </c>
      <c r="C155" s="258"/>
      <c r="D155" s="258"/>
      <c r="E155" s="258"/>
      <c r="F155" s="258"/>
      <c r="G155" s="258"/>
      <c r="H155" s="258"/>
      <c r="I155" s="260">
        <f>I151-I154-K154</f>
        <v>7382</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13.400763358778626</v>
      </c>
      <c r="N159" s="264" t="s">
        <v>145</v>
      </c>
      <c r="O159" s="6"/>
    </row>
    <row r="160" spans="1:16" ht="15.6" x14ac:dyDescent="0.3">
      <c r="A160" s="307"/>
      <c r="B160" s="258" t="s">
        <v>89</v>
      </c>
      <c r="C160" s="258"/>
      <c r="D160" s="258"/>
      <c r="E160" s="258"/>
      <c r="F160" s="258"/>
      <c r="G160" s="258"/>
      <c r="H160" s="258"/>
      <c r="I160" s="258"/>
      <c r="J160" s="258"/>
      <c r="K160" s="258"/>
      <c r="L160" s="258"/>
      <c r="M160" s="309">
        <v>2.92</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13.884615384615385</v>
      </c>
      <c r="N161" s="264" t="s">
        <v>145</v>
      </c>
      <c r="O161" s="6"/>
    </row>
    <row r="162" spans="1:15" ht="15.6" x14ac:dyDescent="0.3">
      <c r="A162" s="307"/>
      <c r="B162" s="258" t="s">
        <v>91</v>
      </c>
      <c r="C162" s="258"/>
      <c r="D162" s="258"/>
      <c r="E162" s="258"/>
      <c r="F162" s="258"/>
      <c r="G162" s="258"/>
      <c r="H162" s="258"/>
      <c r="I162" s="258"/>
      <c r="J162" s="258"/>
      <c r="K162" s="258"/>
      <c r="L162" s="258"/>
      <c r="M162" s="310">
        <v>8.6300000000000008</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16.385869565217391</v>
      </c>
      <c r="N163" s="264" t="s">
        <v>145</v>
      </c>
      <c r="O163" s="6"/>
    </row>
    <row r="164" spans="1:15" ht="15.6" x14ac:dyDescent="0.3">
      <c r="A164" s="307"/>
      <c r="B164" s="258" t="s">
        <v>182</v>
      </c>
      <c r="C164" s="258"/>
      <c r="D164" s="258"/>
      <c r="E164" s="258"/>
      <c r="F164" s="258"/>
      <c r="G164" s="258"/>
      <c r="H164" s="258"/>
      <c r="I164" s="258"/>
      <c r="J164" s="258"/>
      <c r="K164" s="258"/>
      <c r="L164" s="258"/>
      <c r="M164" s="310">
        <v>11.19</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OCTOBER 2010</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f>D78</f>
        <v>40480</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9.5399999999999999E-2</v>
      </c>
      <c r="L174" s="258"/>
      <c r="M174" s="258"/>
      <c r="N174" s="264"/>
      <c r="O174" s="6"/>
    </row>
    <row r="175" spans="1:15" ht="15.6" x14ac:dyDescent="0.3">
      <c r="A175" s="301"/>
      <c r="B175" s="258" t="s">
        <v>97</v>
      </c>
      <c r="C175" s="302"/>
      <c r="D175" s="302"/>
      <c r="E175" s="302"/>
      <c r="F175" s="302"/>
      <c r="G175" s="302"/>
      <c r="H175" s="303"/>
      <c r="I175" s="303"/>
      <c r="J175" s="303"/>
      <c r="K175" s="304">
        <f>M36</f>
        <v>1.6814799011262416E-2</v>
      </c>
      <c r="L175" s="258"/>
      <c r="M175" s="258"/>
      <c r="N175" s="264"/>
      <c r="O175" s="6"/>
    </row>
    <row r="176" spans="1:15" ht="15.6" x14ac:dyDescent="0.3">
      <c r="A176" s="301"/>
      <c r="B176" s="258" t="s">
        <v>98</v>
      </c>
      <c r="C176" s="302"/>
      <c r="D176" s="302"/>
      <c r="E176" s="302"/>
      <c r="F176" s="302"/>
      <c r="G176" s="302"/>
      <c r="H176" s="303"/>
      <c r="I176" s="303"/>
      <c r="J176" s="303"/>
      <c r="K176" s="304">
        <f>K174-K175</f>
        <v>7.8585200988737586E-2</v>
      </c>
      <c r="L176" s="258"/>
      <c r="M176" s="258"/>
      <c r="N176" s="264"/>
      <c r="O176" s="6"/>
    </row>
    <row r="177" spans="1:15" ht="15.6" x14ac:dyDescent="0.3">
      <c r="A177" s="301"/>
      <c r="B177" s="258" t="s">
        <v>211</v>
      </c>
      <c r="C177" s="302"/>
      <c r="D177" s="302"/>
      <c r="E177" s="302"/>
      <c r="F177" s="302"/>
      <c r="G177" s="302"/>
      <c r="H177" s="303"/>
      <c r="I177" s="303"/>
      <c r="J177" s="303"/>
      <c r="K177" s="304">
        <f>(+M87+M89)/E58</f>
        <v>2.2540389491021474E-2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13.8</v>
      </c>
      <c r="L182" s="258" t="s">
        <v>139</v>
      </c>
      <c r="M182" s="258"/>
      <c r="N182" s="264"/>
      <c r="O182" s="6"/>
    </row>
    <row r="183" spans="1:15" ht="15.6" x14ac:dyDescent="0.3">
      <c r="A183" s="301"/>
      <c r="B183" s="258" t="s">
        <v>103</v>
      </c>
      <c r="C183" s="302"/>
      <c r="D183" s="302"/>
      <c r="E183" s="302"/>
      <c r="F183" s="302"/>
      <c r="G183" s="302"/>
      <c r="H183" s="303"/>
      <c r="I183" s="303"/>
      <c r="J183" s="303"/>
      <c r="K183" s="304">
        <f>K80/E58</f>
        <v>3.4026488350430886E-2</v>
      </c>
      <c r="L183" s="258"/>
      <c r="M183" s="258"/>
      <c r="N183" s="264"/>
      <c r="O183" s="6"/>
    </row>
    <row r="184" spans="1:15" ht="15.6" x14ac:dyDescent="0.3">
      <c r="A184" s="301"/>
      <c r="B184" s="258" t="s">
        <v>104</v>
      </c>
      <c r="C184" s="302"/>
      <c r="D184" s="302"/>
      <c r="E184" s="302"/>
      <c r="F184" s="302"/>
      <c r="G184" s="302"/>
      <c r="H184" s="303"/>
      <c r="I184" s="303"/>
      <c r="J184" s="303"/>
      <c r="K184" s="304">
        <v>0.29249999999999998</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919</v>
      </c>
      <c r="K187" s="369">
        <v>25270</v>
      </c>
      <c r="L187" s="217"/>
      <c r="M187" s="229"/>
      <c r="N187" s="230"/>
      <c r="O187" s="6"/>
    </row>
    <row r="188" spans="1:15" ht="15.6" x14ac:dyDescent="0.3">
      <c r="A188" s="275"/>
      <c r="B188" s="258" t="s">
        <v>196</v>
      </c>
      <c r="C188" s="256"/>
      <c r="D188" s="256"/>
      <c r="E188" s="256"/>
      <c r="F188" s="256"/>
      <c r="G188" s="258"/>
      <c r="H188" s="258"/>
      <c r="I188" s="258"/>
      <c r="J188" s="276">
        <v>8</v>
      </c>
      <c r="K188" s="277">
        <v>234</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75</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87" t="s">
        <v>110</v>
      </c>
      <c r="C192" s="288"/>
      <c r="D192" s="288"/>
      <c r="E192" s="287"/>
      <c r="F192" s="287"/>
      <c r="G192" s="287"/>
      <c r="H192" s="287"/>
      <c r="I192" s="287"/>
      <c r="J192" s="287"/>
      <c r="K192" s="289">
        <f>+M139</f>
        <v>1119</v>
      </c>
      <c r="L192" s="287"/>
      <c r="M192" s="281"/>
      <c r="N192" s="286"/>
      <c r="O192" s="6"/>
    </row>
    <row r="193" spans="1:15" ht="15.6" x14ac:dyDescent="0.3">
      <c r="A193" s="275"/>
      <c r="B193" s="287" t="s">
        <v>111</v>
      </c>
      <c r="C193" s="288"/>
      <c r="D193" s="288"/>
      <c r="E193" s="288"/>
      <c r="F193" s="288"/>
      <c r="G193" s="288"/>
      <c r="H193" s="287"/>
      <c r="I193" s="287"/>
      <c r="J193" s="287"/>
      <c r="K193" s="289">
        <f>'July 2010'!K193+'Oct 2010'!K192</f>
        <v>23750</v>
      </c>
      <c r="L193" s="287"/>
      <c r="M193" s="281"/>
      <c r="N193" s="286"/>
      <c r="O193" s="6"/>
    </row>
    <row r="194" spans="1:15" ht="15.6" x14ac:dyDescent="0.3">
      <c r="A194" s="275"/>
      <c r="B194" s="287" t="s">
        <v>112</v>
      </c>
      <c r="C194" s="288"/>
      <c r="D194" s="288"/>
      <c r="E194" s="288"/>
      <c r="F194" s="288"/>
      <c r="G194" s="288"/>
      <c r="H194" s="287"/>
      <c r="I194" s="287"/>
      <c r="J194" s="287"/>
      <c r="K194" s="289">
        <f>+'July 2010'!K194+343</f>
        <v>6338</v>
      </c>
      <c r="L194" s="287"/>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6</v>
      </c>
      <c r="L196" s="258"/>
      <c r="M196" s="261"/>
      <c r="N196" s="286"/>
      <c r="O196" s="6"/>
    </row>
    <row r="197" spans="1:15" ht="15.6" x14ac:dyDescent="0.3">
      <c r="A197" s="275"/>
      <c r="B197" s="258" t="s">
        <v>113</v>
      </c>
      <c r="C197" s="256"/>
      <c r="D197" s="256"/>
      <c r="E197" s="290"/>
      <c r="F197" s="290"/>
      <c r="G197" s="291"/>
      <c r="H197" s="258"/>
      <c r="I197" s="258"/>
      <c r="J197" s="258"/>
      <c r="K197" s="292">
        <v>11.75</v>
      </c>
      <c r="L197" s="258"/>
      <c r="M197" s="261"/>
      <c r="N197" s="286"/>
      <c r="O197" s="6"/>
    </row>
    <row r="198" spans="1:15" ht="15.6" x14ac:dyDescent="0.3">
      <c r="A198" s="275"/>
      <c r="B198" s="258" t="s">
        <v>114</v>
      </c>
      <c r="C198" s="256"/>
      <c r="D198" s="256"/>
      <c r="E198" s="290"/>
      <c r="F198" s="290"/>
      <c r="G198" s="291"/>
      <c r="H198" s="258"/>
      <c r="I198" s="258"/>
      <c r="J198" s="258"/>
      <c r="K198" s="292">
        <v>3.42</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5538</v>
      </c>
      <c r="J203" s="232">
        <f>I203/I212</f>
        <v>0.85767384234164468</v>
      </c>
      <c r="K203" s="221">
        <v>130279</v>
      </c>
      <c r="L203" s="232">
        <f>K203/K212</f>
        <v>0.83754315360433051</v>
      </c>
      <c r="M203" s="228"/>
      <c r="N203" s="218"/>
      <c r="O203" s="6"/>
    </row>
    <row r="204" spans="1:15" ht="15.6" x14ac:dyDescent="0.3">
      <c r="A204" s="255"/>
      <c r="B204" s="256" t="s">
        <v>117</v>
      </c>
      <c r="C204" s="257"/>
      <c r="D204" s="257"/>
      <c r="E204" s="256"/>
      <c r="F204" s="257"/>
      <c r="G204" s="258"/>
      <c r="H204" s="259"/>
      <c r="I204" s="256">
        <v>309</v>
      </c>
      <c r="J204" s="259">
        <f>I204/I212</f>
        <v>4.7855041040730989E-2</v>
      </c>
      <c r="K204" s="260">
        <v>8062</v>
      </c>
      <c r="L204" s="259">
        <f>K204/K212</f>
        <v>5.1829327093070351E-2</v>
      </c>
      <c r="M204" s="261"/>
      <c r="N204" s="263"/>
      <c r="O204" s="6"/>
    </row>
    <row r="205" spans="1:15" ht="15.6" x14ac:dyDescent="0.3">
      <c r="A205" s="255"/>
      <c r="B205" s="256" t="s">
        <v>118</v>
      </c>
      <c r="C205" s="257"/>
      <c r="D205" s="257"/>
      <c r="E205" s="256"/>
      <c r="F205" s="257"/>
      <c r="G205" s="258"/>
      <c r="H205" s="259"/>
      <c r="I205" s="256">
        <v>159</v>
      </c>
      <c r="J205" s="259">
        <f>I205/I212</f>
        <v>2.4624438593774198E-2</v>
      </c>
      <c r="K205" s="260">
        <v>4447</v>
      </c>
      <c r="L205" s="259">
        <f>K205/K212</f>
        <v>2.8589061967611493E-2</v>
      </c>
      <c r="M205" s="261"/>
      <c r="N205" s="263"/>
      <c r="O205" s="6"/>
    </row>
    <row r="206" spans="1:15" ht="15.6" x14ac:dyDescent="0.3">
      <c r="A206" s="255"/>
      <c r="B206" s="256" t="s">
        <v>167</v>
      </c>
      <c r="C206" s="257"/>
      <c r="D206" s="257"/>
      <c r="E206" s="256"/>
      <c r="F206" s="257"/>
      <c r="G206" s="258"/>
      <c r="H206" s="259"/>
      <c r="I206" s="256">
        <v>111</v>
      </c>
      <c r="J206" s="259">
        <f>I206/I212</f>
        <v>1.7190645810748025E-2</v>
      </c>
      <c r="K206" s="260">
        <v>3022</v>
      </c>
      <c r="L206" s="259">
        <f>K206/K212</f>
        <v>1.9427961606953436E-2</v>
      </c>
      <c r="M206" s="261"/>
      <c r="N206" s="262"/>
      <c r="O206" s="6"/>
    </row>
    <row r="207" spans="1:15" ht="15.6" x14ac:dyDescent="0.3">
      <c r="A207" s="255"/>
      <c r="B207" s="256" t="s">
        <v>168</v>
      </c>
      <c r="C207" s="257"/>
      <c r="D207" s="257"/>
      <c r="E207" s="256"/>
      <c r="F207" s="257"/>
      <c r="G207" s="258"/>
      <c r="H207" s="259"/>
      <c r="I207" s="256">
        <v>94</v>
      </c>
      <c r="J207" s="259">
        <f>I207/I212</f>
        <v>1.4557844200092922E-2</v>
      </c>
      <c r="K207" s="260">
        <v>2403</v>
      </c>
      <c r="L207" s="259">
        <f>K207/K212</f>
        <v>1.5448508187130743E-2</v>
      </c>
      <c r="M207" s="261"/>
      <c r="N207" s="262"/>
      <c r="O207" s="6"/>
    </row>
    <row r="208" spans="1:15" ht="15.6" x14ac:dyDescent="0.3">
      <c r="A208" s="255"/>
      <c r="B208" s="256" t="s">
        <v>169</v>
      </c>
      <c r="C208" s="257"/>
      <c r="D208" s="257"/>
      <c r="E208" s="256"/>
      <c r="F208" s="257"/>
      <c r="G208" s="258"/>
      <c r="H208" s="259"/>
      <c r="I208" s="256">
        <v>60</v>
      </c>
      <c r="J208" s="259">
        <f>I208/I212</f>
        <v>9.2922409787827166E-3</v>
      </c>
      <c r="K208" s="260">
        <v>1826</v>
      </c>
      <c r="L208" s="259">
        <f>K208/K212</f>
        <v>1.1739066146359025E-2</v>
      </c>
      <c r="M208" s="261"/>
      <c r="N208" s="262"/>
      <c r="O208" s="6"/>
    </row>
    <row r="209" spans="1:15" ht="15.6" x14ac:dyDescent="0.3">
      <c r="A209" s="255"/>
      <c r="B209" s="256" t="s">
        <v>176</v>
      </c>
      <c r="C209" s="257"/>
      <c r="D209" s="257"/>
      <c r="E209" s="256"/>
      <c r="F209" s="257"/>
      <c r="G209" s="258"/>
      <c r="H209" s="259"/>
      <c r="I209" s="256">
        <v>106</v>
      </c>
      <c r="J209" s="259">
        <f>I209/I212</f>
        <v>1.6416292395849467E-2</v>
      </c>
      <c r="K209" s="260">
        <v>3185</v>
      </c>
      <c r="L209" s="259">
        <f>K209/K212</f>
        <v>2.047586291136555E-2</v>
      </c>
      <c r="M209" s="261"/>
      <c r="N209" s="263"/>
      <c r="O209" s="6"/>
    </row>
    <row r="210" spans="1:15" ht="15.6" x14ac:dyDescent="0.3">
      <c r="A210" s="255"/>
      <c r="B210" s="256" t="s">
        <v>202</v>
      </c>
      <c r="C210" s="257"/>
      <c r="D210" s="257"/>
      <c r="E210" s="256"/>
      <c r="F210" s="257"/>
      <c r="G210" s="258"/>
      <c r="H210" s="259"/>
      <c r="I210" s="256">
        <v>80</v>
      </c>
      <c r="J210" s="259">
        <f>+I210/I212</f>
        <v>1.2389654638376955E-2</v>
      </c>
      <c r="K210" s="260">
        <v>2325</v>
      </c>
      <c r="L210" s="259">
        <f>+K210/K212</f>
        <v>1.4947058483178934E-2</v>
      </c>
      <c r="M210" s="261"/>
      <c r="N210" s="263"/>
      <c r="O210" s="6"/>
    </row>
    <row r="211" spans="1:15" ht="15.6" x14ac:dyDescent="0.3">
      <c r="A211" s="255"/>
      <c r="B211" s="256" t="s">
        <v>170</v>
      </c>
      <c r="C211" s="257"/>
      <c r="D211" s="257"/>
      <c r="E211" s="256"/>
      <c r="F211" s="257"/>
      <c r="G211" s="256"/>
      <c r="H211" s="259"/>
      <c r="I211" s="256">
        <v>0</v>
      </c>
      <c r="J211" s="259">
        <f>I211/I212</f>
        <v>0</v>
      </c>
      <c r="K211" s="260">
        <v>0</v>
      </c>
      <c r="L211" s="259">
        <f>+K211/K212</f>
        <v>0</v>
      </c>
      <c r="M211" s="261"/>
      <c r="N211" s="263"/>
      <c r="O211" s="6"/>
    </row>
    <row r="212" spans="1:15" ht="15.6" x14ac:dyDescent="0.3">
      <c r="A212" s="255"/>
      <c r="B212" s="258" t="s">
        <v>189</v>
      </c>
      <c r="C212" s="258"/>
      <c r="D212" s="258"/>
      <c r="E212" s="258"/>
      <c r="F212" s="258"/>
      <c r="G212" s="256"/>
      <c r="H212" s="258"/>
      <c r="I212" s="256">
        <f>SUM(I203:I211)</f>
        <v>6457</v>
      </c>
      <c r="J212" s="259">
        <f>SUM(J203:J211)</f>
        <v>0.99999999999999989</v>
      </c>
      <c r="K212" s="260">
        <f>SUM(K203:K211)</f>
        <v>155549</v>
      </c>
      <c r="L212" s="259">
        <f>SUM(L203:L211)</f>
        <v>0.99999999999999989</v>
      </c>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1.0720000000000001</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OCTOBER 2010</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phoneticPr fontId="0" type="noConversion"/>
  <hyperlinks>
    <hyperlink ref="I10" r:id="rId1" xr:uid="{00000000-0004-0000-1600-000000000000}"/>
    <hyperlink ref="K200" r:id="rId2" xr:uid="{00000000-0004-0000-16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2D2926"/>
  </sheetPr>
  <dimension ref="A1:P225"/>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5.6" x14ac:dyDescent="0.3">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40595</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62" t="s">
        <v>131</v>
      </c>
      <c r="D23" s="362"/>
      <c r="E23" s="362" t="s">
        <v>124</v>
      </c>
      <c r="F23" s="362"/>
      <c r="G23" s="362" t="s">
        <v>152</v>
      </c>
      <c r="H23" s="362"/>
      <c r="I23" s="362"/>
      <c r="J23" s="363"/>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121</v>
      </c>
      <c r="D27" s="341"/>
      <c r="E27" s="341" t="s">
        <v>125</v>
      </c>
      <c r="F27" s="341"/>
      <c r="G27" s="341" t="s">
        <v>239</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86548.631399999998</v>
      </c>
      <c r="D31" s="345"/>
      <c r="E31" s="344">
        <v>42000</v>
      </c>
      <c r="F31" s="344"/>
      <c r="G31" s="344">
        <v>27000</v>
      </c>
      <c r="H31" s="346"/>
      <c r="I31" s="346"/>
      <c r="J31" s="346"/>
      <c r="K31" s="346"/>
      <c r="L31" s="347"/>
      <c r="M31" s="344">
        <f>C31+E31+G31</f>
        <v>155548.63140000001</v>
      </c>
      <c r="N31" s="348"/>
      <c r="O31" s="6"/>
    </row>
    <row r="32" spans="1:15" ht="15.6" x14ac:dyDescent="0.3">
      <c r="A32" s="340"/>
      <c r="B32" s="319" t="s">
        <v>16</v>
      </c>
      <c r="C32" s="349">
        <f>C30*C33</f>
        <v>80386.660199999998</v>
      </c>
      <c r="D32" s="350"/>
      <c r="E32" s="349">
        <v>42000</v>
      </c>
      <c r="F32" s="349"/>
      <c r="G32" s="349">
        <v>27000</v>
      </c>
      <c r="H32" s="351"/>
      <c r="I32" s="351"/>
      <c r="J32" s="351"/>
      <c r="K32" s="351"/>
      <c r="L32" s="352"/>
      <c r="M32" s="344">
        <f>C32+E32+G32</f>
        <v>149386.66019999998</v>
      </c>
      <c r="N32" s="348"/>
      <c r="O32" s="6"/>
    </row>
    <row r="33" spans="1:15" ht="15.6" x14ac:dyDescent="0.3">
      <c r="A33" s="340"/>
      <c r="B33" s="278" t="s">
        <v>174</v>
      </c>
      <c r="C33" s="353">
        <v>0.34799419999999998</v>
      </c>
      <c r="D33" s="354"/>
      <c r="E33" s="353">
        <v>1</v>
      </c>
      <c r="F33" s="353"/>
      <c r="G33" s="353">
        <v>1</v>
      </c>
      <c r="H33" s="355"/>
      <c r="I33" s="355"/>
      <c r="J33" s="351"/>
      <c r="K33" s="351"/>
      <c r="L33" s="352"/>
      <c r="M33" s="351"/>
      <c r="N33" s="348"/>
      <c r="O33" s="6"/>
    </row>
    <row r="34" spans="1:15" ht="15.6" x14ac:dyDescent="0.3">
      <c r="A34" s="340"/>
      <c r="B34" s="278" t="s">
        <v>175</v>
      </c>
      <c r="C34" s="353">
        <v>0.37466939999999999</v>
      </c>
      <c r="D34" s="354"/>
      <c r="E34" s="353">
        <v>1</v>
      </c>
      <c r="F34" s="353"/>
      <c r="G34" s="353">
        <v>1</v>
      </c>
      <c r="H34" s="355"/>
      <c r="I34" s="355"/>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1.1375E-2</v>
      </c>
      <c r="D36" s="258"/>
      <c r="E36" s="356">
        <v>2.2374999999999999E-2</v>
      </c>
      <c r="F36" s="304"/>
      <c r="G36" s="356">
        <v>2.7375E-2</v>
      </c>
      <c r="H36" s="304"/>
      <c r="I36" s="356"/>
      <c r="J36" s="304"/>
      <c r="K36" s="356"/>
      <c r="L36" s="321"/>
      <c r="M36" s="304">
        <f>SUMPRODUCT(C36:G36,C31:G31)/M31</f>
        <v>1.7122398687816419E-2</v>
      </c>
      <c r="N36" s="264"/>
      <c r="O36" s="6"/>
    </row>
    <row r="37" spans="1:15" ht="15.6" x14ac:dyDescent="0.3">
      <c r="A37" s="307"/>
      <c r="B37" s="258" t="s">
        <v>19</v>
      </c>
      <c r="C37" s="356">
        <v>1.1299999999999999E-2</v>
      </c>
      <c r="D37" s="258"/>
      <c r="E37" s="356">
        <v>2.23E-2</v>
      </c>
      <c r="F37" s="304"/>
      <c r="G37" s="356">
        <v>2.7300000000000001E-2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0.85835137108980175</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40589</v>
      </c>
      <c r="N47" s="264"/>
      <c r="O47" s="6"/>
    </row>
    <row r="48" spans="1:15" ht="15.6" x14ac:dyDescent="0.3">
      <c r="A48" s="307"/>
      <c r="B48" s="258" t="s">
        <v>26</v>
      </c>
      <c r="C48" s="258"/>
      <c r="D48" s="258"/>
      <c r="E48" s="258"/>
      <c r="F48" s="258"/>
      <c r="G48" s="258"/>
      <c r="H48" s="258"/>
      <c r="I48" s="258"/>
      <c r="J48" s="258">
        <f>M48-K48+1</f>
        <v>91</v>
      </c>
      <c r="K48" s="360">
        <v>40406</v>
      </c>
      <c r="L48" s="361"/>
      <c r="M48" s="360">
        <v>40496</v>
      </c>
      <c r="N48" s="264"/>
      <c r="O48" s="6"/>
    </row>
    <row r="49" spans="1:15" ht="15.6" x14ac:dyDescent="0.3">
      <c r="A49" s="307"/>
      <c r="B49" s="258" t="s">
        <v>27</v>
      </c>
      <c r="C49" s="258"/>
      <c r="D49" s="258"/>
      <c r="E49" s="258"/>
      <c r="F49" s="258"/>
      <c r="G49" s="258"/>
      <c r="H49" s="258"/>
      <c r="I49" s="258"/>
      <c r="J49" s="258">
        <f>M49-K49+1</f>
        <v>92</v>
      </c>
      <c r="K49" s="360">
        <v>40497</v>
      </c>
      <c r="L49" s="361"/>
      <c r="M49" s="360">
        <v>40588</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40575</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247</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155549</v>
      </c>
      <c r="F58" s="256"/>
      <c r="G58" s="256">
        <f>5231+931+18</f>
        <v>6180</v>
      </c>
      <c r="H58" s="256"/>
      <c r="I58" s="256">
        <v>18</v>
      </c>
      <c r="J58" s="256"/>
      <c r="K58" s="256">
        <v>0</v>
      </c>
      <c r="L58" s="256"/>
      <c r="M58" s="260">
        <f>E58-G58+I58-K58</f>
        <v>149387</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155549</v>
      </c>
      <c r="F62" s="256"/>
      <c r="G62" s="256">
        <f>SUM(G58:G61)</f>
        <v>6180</v>
      </c>
      <c r="H62" s="256"/>
      <c r="I62" s="256">
        <f>SUM(I58:I61)</f>
        <v>18</v>
      </c>
      <c r="J62" s="256"/>
      <c r="K62" s="256">
        <f>SUM(K58:K61)</f>
        <v>0</v>
      </c>
      <c r="L62" s="256"/>
      <c r="M62" s="256">
        <f>SUM(M58:M61)</f>
        <v>149387</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155549</v>
      </c>
      <c r="F75" s="256"/>
      <c r="G75" s="256"/>
      <c r="H75" s="256"/>
      <c r="I75" s="256"/>
      <c r="J75" s="256"/>
      <c r="K75" s="256"/>
      <c r="L75" s="256"/>
      <c r="M75" s="256">
        <f>SUM(M62:M74)</f>
        <v>149387</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40574</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6180-931</f>
        <v>5249</v>
      </c>
      <c r="L80" s="258"/>
      <c r="M80" s="260"/>
      <c r="N80" s="264"/>
      <c r="O80" s="6"/>
    </row>
    <row r="81" spans="1:16" ht="15.6" x14ac:dyDescent="0.3">
      <c r="A81" s="307"/>
      <c r="B81" s="258" t="s">
        <v>204</v>
      </c>
      <c r="C81" s="290"/>
      <c r="D81" s="325"/>
      <c r="E81" s="326"/>
      <c r="F81" s="258"/>
      <c r="G81" s="258"/>
      <c r="H81" s="258"/>
      <c r="I81" s="258"/>
      <c r="J81" s="258"/>
      <c r="K81" s="256"/>
      <c r="L81" s="258"/>
      <c r="M81" s="260">
        <f>6120+23-2442</f>
        <v>3701</v>
      </c>
      <c r="N81" s="264"/>
      <c r="O81" s="6"/>
    </row>
    <row r="82" spans="1:16" ht="15.6" x14ac:dyDescent="0.3">
      <c r="A82" s="307"/>
      <c r="B82" s="258" t="s">
        <v>205</v>
      </c>
      <c r="C82" s="290"/>
      <c r="D82" s="325"/>
      <c r="E82" s="326"/>
      <c r="F82" s="258"/>
      <c r="G82" s="258"/>
      <c r="H82" s="258"/>
      <c r="I82" s="258"/>
      <c r="J82" s="258"/>
      <c r="K82" s="256"/>
      <c r="L82" s="258"/>
      <c r="M82" s="260">
        <v>302</v>
      </c>
      <c r="N82" s="264"/>
      <c r="O82" s="6"/>
    </row>
    <row r="83" spans="1:16" ht="15.6" x14ac:dyDescent="0.3">
      <c r="A83" s="307"/>
      <c r="B83" s="258" t="s">
        <v>206</v>
      </c>
      <c r="C83" s="290"/>
      <c r="D83" s="325"/>
      <c r="E83" s="326"/>
      <c r="F83" s="258"/>
      <c r="G83" s="258"/>
      <c r="H83" s="258"/>
      <c r="I83" s="258"/>
      <c r="J83" s="258"/>
      <c r="K83" s="256"/>
      <c r="L83" s="258"/>
      <c r="M83" s="260">
        <v>29</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5249</v>
      </c>
      <c r="L85" s="258"/>
      <c r="M85" s="256">
        <f>SUM(M79:M84)</f>
        <v>4032</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5249</v>
      </c>
      <c r="L87" s="258"/>
      <c r="M87" s="256">
        <f>M85+M86</f>
        <v>4032</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-59-64-2</f>
        <v>-125</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-248</v>
      </c>
      <c r="N93" s="311"/>
      <c r="O93" s="6"/>
    </row>
    <row r="94" spans="1:16" ht="15.6" x14ac:dyDescent="0.3">
      <c r="A94" s="255">
        <v>5</v>
      </c>
      <c r="B94" s="258" t="s">
        <v>52</v>
      </c>
      <c r="C94" s="258"/>
      <c r="D94" s="258"/>
      <c r="E94" s="258"/>
      <c r="F94" s="258"/>
      <c r="G94" s="258"/>
      <c r="H94" s="258"/>
      <c r="I94" s="258"/>
      <c r="J94" s="258"/>
      <c r="K94" s="258"/>
      <c r="L94" s="258"/>
      <c r="M94" s="260">
        <v>-237</v>
      </c>
      <c r="N94" s="311"/>
      <c r="O94" s="6"/>
    </row>
    <row r="95" spans="1:16" ht="15.6" x14ac:dyDescent="0.3">
      <c r="A95" s="255">
        <v>6</v>
      </c>
      <c r="B95" s="258" t="s">
        <v>172</v>
      </c>
      <c r="C95" s="258"/>
      <c r="D95" s="258"/>
      <c r="E95" s="258"/>
      <c r="F95" s="258"/>
      <c r="G95" s="258"/>
      <c r="H95" s="258"/>
      <c r="I95" s="258"/>
      <c r="J95" s="258"/>
      <c r="K95" s="258"/>
      <c r="L95" s="258"/>
      <c r="M95" s="260">
        <v>-186</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931</v>
      </c>
      <c r="L97" s="258"/>
      <c r="M97" s="260">
        <v>-931</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-59</v>
      </c>
      <c r="N101" s="311"/>
      <c r="O101" s="6"/>
    </row>
    <row r="102" spans="1:16" ht="15.6" x14ac:dyDescent="0.3">
      <c r="A102" s="255">
        <v>13</v>
      </c>
      <c r="B102" s="258" t="s">
        <v>195</v>
      </c>
      <c r="C102" s="258"/>
      <c r="D102" s="258"/>
      <c r="E102" s="258"/>
      <c r="F102" s="258"/>
      <c r="G102" s="258"/>
      <c r="H102" s="258"/>
      <c r="I102" s="258"/>
      <c r="J102" s="258"/>
      <c r="K102" s="258"/>
      <c r="L102" s="258"/>
      <c r="M102" s="260">
        <f>-M87-SUM(M89:M101)</f>
        <v>-2237</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-18</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-6162</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f>
        <v>-6180</v>
      </c>
      <c r="L110" s="256"/>
      <c r="M110" s="256">
        <f>SUM(M88:M109)</f>
        <v>-4032</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JANUARY 2011</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455</v>
      </c>
      <c r="N137" s="264"/>
      <c r="O137" s="6"/>
    </row>
    <row r="138" spans="1:15" ht="15.6" x14ac:dyDescent="0.3">
      <c r="A138" s="307"/>
      <c r="B138" s="258" t="s">
        <v>180</v>
      </c>
      <c r="C138" s="258"/>
      <c r="D138" s="258"/>
      <c r="E138" s="258"/>
      <c r="F138" s="258"/>
      <c r="G138" s="258"/>
      <c r="H138" s="258"/>
      <c r="I138" s="258"/>
      <c r="J138" s="258"/>
      <c r="K138" s="258"/>
      <c r="L138" s="258"/>
      <c r="M138" s="260">
        <f>584-108</f>
        <v>476</v>
      </c>
      <c r="N138" s="264"/>
      <c r="O138" s="6"/>
    </row>
    <row r="139" spans="1:15" ht="15.6" x14ac:dyDescent="0.3">
      <c r="A139" s="307"/>
      <c r="B139" s="258" t="s">
        <v>77</v>
      </c>
      <c r="C139" s="258"/>
      <c r="D139" s="258"/>
      <c r="E139" s="258"/>
      <c r="F139" s="258"/>
      <c r="G139" s="258"/>
      <c r="H139" s="258"/>
      <c r="I139" s="258"/>
      <c r="J139" s="258"/>
      <c r="K139" s="258"/>
      <c r="L139" s="258"/>
      <c r="M139" s="260">
        <f>M137+M136+M138</f>
        <v>931</v>
      </c>
      <c r="N139" s="264"/>
      <c r="O139" s="6"/>
    </row>
    <row r="140" spans="1:15" ht="15.6" x14ac:dyDescent="0.3">
      <c r="A140" s="307"/>
      <c r="B140" s="258" t="s">
        <v>183</v>
      </c>
      <c r="C140" s="258"/>
      <c r="D140" s="258"/>
      <c r="E140" s="258"/>
      <c r="F140" s="258"/>
      <c r="G140" s="258"/>
      <c r="H140" s="258"/>
      <c r="I140" s="303"/>
      <c r="J140" s="258"/>
      <c r="K140" s="258"/>
      <c r="L140" s="258"/>
      <c r="M140" s="260">
        <f>M97</f>
        <v>-931</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149387</v>
      </c>
      <c r="N146" s="318"/>
      <c r="O146" s="6"/>
      <c r="P146" s="117"/>
    </row>
    <row r="147" spans="1:16" ht="15.6" x14ac:dyDescent="0.3">
      <c r="A147" s="307"/>
      <c r="B147" s="258" t="s">
        <v>80</v>
      </c>
      <c r="C147" s="319"/>
      <c r="D147" s="319"/>
      <c r="E147" s="258"/>
      <c r="F147" s="258"/>
      <c r="G147" s="258"/>
      <c r="H147" s="258"/>
      <c r="I147" s="258"/>
      <c r="J147" s="258"/>
      <c r="K147" s="258"/>
      <c r="L147" s="258"/>
      <c r="M147" s="260">
        <f>M75</f>
        <v>149387</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+'Oct 2010'!I154</f>
        <v>7618</v>
      </c>
      <c r="J152" s="258"/>
      <c r="K152" s="260">
        <v>0</v>
      </c>
      <c r="L152" s="258"/>
      <c r="M152" s="260">
        <f>K152+I152</f>
        <v>7618</v>
      </c>
      <c r="N152" s="311"/>
      <c r="O152" s="6"/>
    </row>
    <row r="153" spans="1:16" ht="15.6" x14ac:dyDescent="0.3">
      <c r="A153" s="307"/>
      <c r="B153" s="258" t="s">
        <v>84</v>
      </c>
      <c r="C153" s="258"/>
      <c r="D153" s="258"/>
      <c r="E153" s="258"/>
      <c r="F153" s="258"/>
      <c r="G153" s="258"/>
      <c r="H153" s="258"/>
      <c r="I153" s="256">
        <v>18</v>
      </c>
      <c r="J153" s="258"/>
      <c r="K153" s="258">
        <v>0</v>
      </c>
      <c r="L153" s="258"/>
      <c r="M153" s="260">
        <f>K153+I153</f>
        <v>18</v>
      </c>
      <c r="N153" s="311"/>
      <c r="O153" s="6"/>
    </row>
    <row r="154" spans="1:16" ht="15.6" x14ac:dyDescent="0.3">
      <c r="A154" s="307"/>
      <c r="B154" s="258" t="s">
        <v>85</v>
      </c>
      <c r="C154" s="258"/>
      <c r="D154" s="258"/>
      <c r="E154" s="258"/>
      <c r="F154" s="258"/>
      <c r="G154" s="258"/>
      <c r="H154" s="258"/>
      <c r="I154" s="260">
        <f>I152+I153</f>
        <v>7636</v>
      </c>
      <c r="J154" s="258"/>
      <c r="K154" s="260">
        <f>K153+K152</f>
        <v>0</v>
      </c>
      <c r="L154" s="258"/>
      <c r="M154" s="260">
        <f>K154+I154</f>
        <v>7636</v>
      </c>
      <c r="N154" s="311"/>
      <c r="O154" s="6"/>
    </row>
    <row r="155" spans="1:16" ht="15.6" x14ac:dyDescent="0.3">
      <c r="A155" s="307"/>
      <c r="B155" s="258" t="s">
        <v>86</v>
      </c>
      <c r="C155" s="258"/>
      <c r="D155" s="258"/>
      <c r="E155" s="258"/>
      <c r="F155" s="258"/>
      <c r="G155" s="258"/>
      <c r="H155" s="258"/>
      <c r="I155" s="260">
        <f>I151-I154-K154</f>
        <v>7364</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15.745967741935484</v>
      </c>
      <c r="N159" s="264" t="s">
        <v>145</v>
      </c>
      <c r="O159" s="6"/>
    </row>
    <row r="160" spans="1:16" ht="15.6" x14ac:dyDescent="0.3">
      <c r="A160" s="307"/>
      <c r="B160" s="258" t="s">
        <v>89</v>
      </c>
      <c r="C160" s="258"/>
      <c r="D160" s="258"/>
      <c r="E160" s="258"/>
      <c r="F160" s="258"/>
      <c r="G160" s="258"/>
      <c r="H160" s="258"/>
      <c r="I160" s="258"/>
      <c r="J160" s="258"/>
      <c r="K160" s="258"/>
      <c r="L160" s="258"/>
      <c r="M160" s="309">
        <v>2.98</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15.430379746835444</v>
      </c>
      <c r="N161" s="264" t="s">
        <v>145</v>
      </c>
      <c r="O161" s="6"/>
    </row>
    <row r="162" spans="1:15" ht="15.6" x14ac:dyDescent="0.3">
      <c r="A162" s="307"/>
      <c r="B162" s="258" t="s">
        <v>91</v>
      </c>
      <c r="C162" s="258"/>
      <c r="D162" s="258"/>
      <c r="E162" s="258"/>
      <c r="F162" s="258"/>
      <c r="G162" s="258"/>
      <c r="H162" s="258"/>
      <c r="I162" s="258"/>
      <c r="J162" s="258"/>
      <c r="K162" s="258"/>
      <c r="L162" s="258"/>
      <c r="M162" s="310">
        <v>8.76</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18.387096774193548</v>
      </c>
      <c r="N163" s="264" t="s">
        <v>145</v>
      </c>
      <c r="O163" s="6"/>
    </row>
    <row r="164" spans="1:15" ht="15.6" x14ac:dyDescent="0.3">
      <c r="A164" s="307"/>
      <c r="B164" s="258" t="s">
        <v>182</v>
      </c>
      <c r="C164" s="258"/>
      <c r="D164" s="258"/>
      <c r="E164" s="258"/>
      <c r="F164" s="258"/>
      <c r="G164" s="258"/>
      <c r="H164" s="258"/>
      <c r="I164" s="258"/>
      <c r="J164" s="258"/>
      <c r="K164" s="258"/>
      <c r="L164" s="258"/>
      <c r="M164" s="310">
        <v>11.35</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JANUARY 2011</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f>D78</f>
        <v>40574</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9.5500000000000002E-2</v>
      </c>
      <c r="L174" s="258"/>
      <c r="M174" s="258"/>
      <c r="N174" s="264"/>
      <c r="O174" s="6"/>
    </row>
    <row r="175" spans="1:15" ht="15.6" x14ac:dyDescent="0.3">
      <c r="A175" s="301"/>
      <c r="B175" s="258" t="s">
        <v>97</v>
      </c>
      <c r="C175" s="302"/>
      <c r="D175" s="302"/>
      <c r="E175" s="302"/>
      <c r="F175" s="302"/>
      <c r="G175" s="302"/>
      <c r="H175" s="303"/>
      <c r="I175" s="303"/>
      <c r="J175" s="303"/>
      <c r="K175" s="304">
        <f>M36</f>
        <v>1.7122398687816419E-2</v>
      </c>
      <c r="L175" s="258"/>
      <c r="M175" s="258"/>
      <c r="N175" s="264"/>
      <c r="O175" s="6"/>
    </row>
    <row r="176" spans="1:15" ht="15.6" x14ac:dyDescent="0.3">
      <c r="A176" s="301"/>
      <c r="B176" s="258" t="s">
        <v>98</v>
      </c>
      <c r="C176" s="302"/>
      <c r="D176" s="302"/>
      <c r="E176" s="302"/>
      <c r="F176" s="302"/>
      <c r="G176" s="302"/>
      <c r="H176" s="303"/>
      <c r="I176" s="303"/>
      <c r="J176" s="303"/>
      <c r="K176" s="304">
        <f>K174-K175</f>
        <v>7.8377601312183576E-2</v>
      </c>
      <c r="L176" s="258"/>
      <c r="M176" s="258"/>
      <c r="N176" s="264"/>
      <c r="O176" s="6"/>
    </row>
    <row r="177" spans="1:15" ht="15.6" x14ac:dyDescent="0.3">
      <c r="A177" s="301"/>
      <c r="B177" s="258" t="s">
        <v>211</v>
      </c>
      <c r="C177" s="302"/>
      <c r="D177" s="302"/>
      <c r="E177" s="302"/>
      <c r="F177" s="302"/>
      <c r="G177" s="302"/>
      <c r="H177" s="303"/>
      <c r="I177" s="303"/>
      <c r="J177" s="303"/>
      <c r="K177" s="304">
        <f>(+M87+M89)/E58</f>
        <v>2.5921092388893532E-2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13.66</v>
      </c>
      <c r="L182" s="258" t="s">
        <v>139</v>
      </c>
      <c r="M182" s="258"/>
      <c r="N182" s="264"/>
      <c r="O182" s="6"/>
    </row>
    <row r="183" spans="1:15" ht="15.6" x14ac:dyDescent="0.3">
      <c r="A183" s="301"/>
      <c r="B183" s="258" t="s">
        <v>103</v>
      </c>
      <c r="C183" s="302"/>
      <c r="D183" s="302"/>
      <c r="E183" s="302"/>
      <c r="F183" s="302"/>
      <c r="G183" s="302"/>
      <c r="H183" s="303"/>
      <c r="I183" s="303"/>
      <c r="J183" s="303"/>
      <c r="K183" s="304">
        <f>K80/E58</f>
        <v>3.3744993539013432E-2</v>
      </c>
      <c r="L183" s="258"/>
      <c r="M183" s="258"/>
      <c r="N183" s="264"/>
      <c r="O183" s="6"/>
    </row>
    <row r="184" spans="1:15" ht="15.6" x14ac:dyDescent="0.3">
      <c r="A184" s="301"/>
      <c r="B184" s="258" t="s">
        <v>104</v>
      </c>
      <c r="C184" s="302"/>
      <c r="D184" s="302"/>
      <c r="E184" s="302"/>
      <c r="F184" s="302"/>
      <c r="G184" s="302"/>
      <c r="H184" s="303"/>
      <c r="I184" s="303"/>
      <c r="J184" s="303"/>
      <c r="K184" s="304">
        <v>0.28639999999999999</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941</v>
      </c>
      <c r="K187" s="369">
        <v>25436</v>
      </c>
      <c r="L187" s="217"/>
      <c r="M187" s="229"/>
      <c r="N187" s="230"/>
      <c r="O187" s="6"/>
    </row>
    <row r="188" spans="1:15" ht="15.6" x14ac:dyDescent="0.3">
      <c r="A188" s="275"/>
      <c r="B188" s="258" t="s">
        <v>196</v>
      </c>
      <c r="C188" s="256"/>
      <c r="D188" s="256"/>
      <c r="E188" s="256"/>
      <c r="F188" s="256"/>
      <c r="G188" s="258"/>
      <c r="H188" s="258"/>
      <c r="I188" s="258"/>
      <c r="J188" s="276">
        <v>1</v>
      </c>
      <c r="K188" s="277">
        <v>14</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18</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87" t="s">
        <v>110</v>
      </c>
      <c r="C192" s="288"/>
      <c r="D192" s="288"/>
      <c r="E192" s="287"/>
      <c r="F192" s="287"/>
      <c r="G192" s="287"/>
      <c r="H192" s="287"/>
      <c r="I192" s="287"/>
      <c r="J192" s="287"/>
      <c r="K192" s="289">
        <f>+M139</f>
        <v>931</v>
      </c>
      <c r="L192" s="287"/>
      <c r="M192" s="281"/>
      <c r="N192" s="286"/>
      <c r="O192" s="6"/>
    </row>
    <row r="193" spans="1:15" ht="15.6" x14ac:dyDescent="0.3">
      <c r="A193" s="275"/>
      <c r="B193" s="287" t="s">
        <v>111</v>
      </c>
      <c r="C193" s="288"/>
      <c r="D193" s="288"/>
      <c r="E193" s="288"/>
      <c r="F193" s="288"/>
      <c r="G193" s="288"/>
      <c r="H193" s="287"/>
      <c r="I193" s="287"/>
      <c r="J193" s="287"/>
      <c r="K193" s="289">
        <f>'Oct 2010'!K193+'Jan 2011'!K192</f>
        <v>24681</v>
      </c>
      <c r="L193" s="287"/>
      <c r="M193" s="281"/>
      <c r="N193" s="286"/>
      <c r="O193" s="6"/>
    </row>
    <row r="194" spans="1:15" ht="15.6" x14ac:dyDescent="0.3">
      <c r="A194" s="275"/>
      <c r="B194" s="287" t="s">
        <v>112</v>
      </c>
      <c r="C194" s="288"/>
      <c r="D194" s="288"/>
      <c r="E194" s="288"/>
      <c r="F194" s="288"/>
      <c r="G194" s="288"/>
      <c r="H194" s="287"/>
      <c r="I194" s="287"/>
      <c r="J194" s="287"/>
      <c r="K194" s="277">
        <f>+'Oct 2010'!K194+202</f>
        <v>6540</v>
      </c>
      <c r="L194" s="287"/>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5</v>
      </c>
      <c r="L196" s="258"/>
      <c r="M196" s="261"/>
      <c r="N196" s="286"/>
      <c r="O196" s="6"/>
    </row>
    <row r="197" spans="1:15" ht="15.6" x14ac:dyDescent="0.3">
      <c r="A197" s="275"/>
      <c r="B197" s="258" t="s">
        <v>113</v>
      </c>
      <c r="C197" s="256"/>
      <c r="D197" s="256"/>
      <c r="E197" s="290"/>
      <c r="F197" s="290"/>
      <c r="G197" s="291"/>
      <c r="H197" s="258"/>
      <c r="I197" s="258"/>
      <c r="J197" s="258"/>
      <c r="K197" s="292">
        <v>12.93</v>
      </c>
      <c r="L197" s="258"/>
      <c r="M197" s="261"/>
      <c r="N197" s="286"/>
      <c r="O197" s="6"/>
    </row>
    <row r="198" spans="1:15" ht="15.6" x14ac:dyDescent="0.3">
      <c r="A198" s="275"/>
      <c r="B198" s="258" t="s">
        <v>114</v>
      </c>
      <c r="C198" s="256"/>
      <c r="D198" s="256"/>
      <c r="E198" s="290"/>
      <c r="F198" s="290"/>
      <c r="G198" s="291"/>
      <c r="H198" s="258"/>
      <c r="I198" s="258"/>
      <c r="J198" s="258"/>
      <c r="K198" s="292">
        <v>5</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5321</v>
      </c>
      <c r="J203" s="232">
        <f>I203/I212</f>
        <v>0.84972852123922071</v>
      </c>
      <c r="K203" s="221">
        <v>123951</v>
      </c>
      <c r="L203" s="232">
        <f>K203/K212</f>
        <v>0.82973083333891173</v>
      </c>
      <c r="M203" s="228"/>
      <c r="N203" s="218"/>
      <c r="O203" s="6"/>
    </row>
    <row r="204" spans="1:15" ht="15.6" x14ac:dyDescent="0.3">
      <c r="A204" s="255"/>
      <c r="B204" s="256" t="s">
        <v>117</v>
      </c>
      <c r="C204" s="257"/>
      <c r="D204" s="257"/>
      <c r="E204" s="256"/>
      <c r="F204" s="257"/>
      <c r="G204" s="258"/>
      <c r="H204" s="259"/>
      <c r="I204" s="256">
        <v>293</v>
      </c>
      <c r="J204" s="259">
        <f>I204/I212</f>
        <v>4.6790162887256466E-2</v>
      </c>
      <c r="K204" s="260">
        <v>7917</v>
      </c>
      <c r="L204" s="259">
        <f>K204/K212</f>
        <v>5.2996579354294547E-2</v>
      </c>
      <c r="M204" s="261"/>
      <c r="N204" s="263"/>
      <c r="O204" s="6"/>
    </row>
    <row r="205" spans="1:15" ht="15.6" x14ac:dyDescent="0.3">
      <c r="A205" s="255"/>
      <c r="B205" s="256" t="s">
        <v>118</v>
      </c>
      <c r="C205" s="257"/>
      <c r="D205" s="257"/>
      <c r="E205" s="256"/>
      <c r="F205" s="257"/>
      <c r="G205" s="258"/>
      <c r="H205" s="259"/>
      <c r="I205" s="256">
        <v>156</v>
      </c>
      <c r="J205" s="259">
        <f>I205/I212</f>
        <v>2.4912168636218462E-2</v>
      </c>
      <c r="K205" s="260">
        <v>4587</v>
      </c>
      <c r="L205" s="259">
        <f>K205/K212</f>
        <v>3.0705483074163081E-2</v>
      </c>
      <c r="M205" s="261"/>
      <c r="N205" s="263"/>
      <c r="O205" s="6"/>
    </row>
    <row r="206" spans="1:15" ht="15.6" x14ac:dyDescent="0.3">
      <c r="A206" s="255"/>
      <c r="B206" s="256" t="s">
        <v>167</v>
      </c>
      <c r="C206" s="257"/>
      <c r="D206" s="257"/>
      <c r="E206" s="256"/>
      <c r="F206" s="257"/>
      <c r="G206" s="258"/>
      <c r="H206" s="259"/>
      <c r="I206" s="256">
        <v>135</v>
      </c>
      <c r="J206" s="259">
        <f>I206/I212</f>
        <v>2.1558607473650591E-2</v>
      </c>
      <c r="K206" s="260">
        <v>3208</v>
      </c>
      <c r="L206" s="259">
        <f>K206/K212</f>
        <v>2.1474425485484012E-2</v>
      </c>
      <c r="M206" s="261"/>
      <c r="N206" s="262"/>
      <c r="O206" s="6"/>
    </row>
    <row r="207" spans="1:15" ht="15.6" x14ac:dyDescent="0.3">
      <c r="A207" s="255"/>
      <c r="B207" s="256" t="s">
        <v>168</v>
      </c>
      <c r="C207" s="257"/>
      <c r="D207" s="257"/>
      <c r="E207" s="256"/>
      <c r="F207" s="257"/>
      <c r="G207" s="258"/>
      <c r="H207" s="259"/>
      <c r="I207" s="256">
        <v>95</v>
      </c>
      <c r="J207" s="259">
        <f>I207/I212</f>
        <v>1.5170871925902267E-2</v>
      </c>
      <c r="K207" s="260">
        <v>2364</v>
      </c>
      <c r="L207" s="259">
        <f>K207/K212</f>
        <v>1.5824670152021259E-2</v>
      </c>
      <c r="M207" s="261"/>
      <c r="N207" s="262"/>
      <c r="O207" s="6"/>
    </row>
    <row r="208" spans="1:15" ht="15.6" x14ac:dyDescent="0.3">
      <c r="A208" s="255"/>
      <c r="B208" s="256" t="s">
        <v>169</v>
      </c>
      <c r="C208" s="257"/>
      <c r="D208" s="257"/>
      <c r="E208" s="256"/>
      <c r="F208" s="257"/>
      <c r="G208" s="258"/>
      <c r="H208" s="259"/>
      <c r="I208" s="256">
        <v>70</v>
      </c>
      <c r="J208" s="259">
        <f>I208/I212</f>
        <v>1.1178537208559566E-2</v>
      </c>
      <c r="K208" s="260">
        <v>1888</v>
      </c>
      <c r="L208" s="259">
        <f>K208/K212</f>
        <v>1.2638315248314779E-2</v>
      </c>
      <c r="M208" s="261"/>
      <c r="N208" s="262"/>
      <c r="O208" s="6"/>
    </row>
    <row r="209" spans="1:15" ht="15.6" x14ac:dyDescent="0.3">
      <c r="A209" s="255"/>
      <c r="B209" s="256" t="s">
        <v>176</v>
      </c>
      <c r="C209" s="257"/>
      <c r="D209" s="257"/>
      <c r="E209" s="256"/>
      <c r="F209" s="257"/>
      <c r="G209" s="258"/>
      <c r="H209" s="259"/>
      <c r="I209" s="256">
        <v>113</v>
      </c>
      <c r="J209" s="259">
        <f>I209/I212</f>
        <v>1.8045352922389013E-2</v>
      </c>
      <c r="K209" s="260">
        <v>3207</v>
      </c>
      <c r="L209" s="259">
        <f>K209/K212</f>
        <v>2.1467731462577064E-2</v>
      </c>
      <c r="M209" s="261"/>
      <c r="N209" s="263"/>
      <c r="O209" s="6"/>
    </row>
    <row r="210" spans="1:15" ht="15.6" x14ac:dyDescent="0.3">
      <c r="A210" s="255"/>
      <c r="B210" s="256" t="s">
        <v>202</v>
      </c>
      <c r="C210" s="257"/>
      <c r="D210" s="257"/>
      <c r="E210" s="256"/>
      <c r="F210" s="257"/>
      <c r="G210" s="258"/>
      <c r="H210" s="259"/>
      <c r="I210" s="256">
        <v>79</v>
      </c>
      <c r="J210" s="259">
        <f>+I210/I212</f>
        <v>1.2615777706802939E-2</v>
      </c>
      <c r="K210" s="260">
        <v>2265</v>
      </c>
      <c r="L210" s="259">
        <f>+K210/K212</f>
        <v>1.5161961884233568E-2</v>
      </c>
      <c r="M210" s="261"/>
      <c r="N210" s="263"/>
      <c r="O210" s="6"/>
    </row>
    <row r="211" spans="1:15" ht="15.6" x14ac:dyDescent="0.3">
      <c r="A211" s="255"/>
      <c r="B211" s="256" t="s">
        <v>170</v>
      </c>
      <c r="C211" s="257"/>
      <c r="D211" s="257"/>
      <c r="E211" s="256"/>
      <c r="F211" s="257"/>
      <c r="G211" s="256"/>
      <c r="H211" s="259"/>
      <c r="I211" s="256">
        <v>0</v>
      </c>
      <c r="J211" s="259">
        <f>I211/I212</f>
        <v>0</v>
      </c>
      <c r="K211" s="260">
        <v>0</v>
      </c>
      <c r="L211" s="259">
        <f>+K211/K212</f>
        <v>0</v>
      </c>
      <c r="M211" s="261"/>
      <c r="N211" s="263"/>
      <c r="O211" s="6"/>
    </row>
    <row r="212" spans="1:15" ht="15.6" x14ac:dyDescent="0.3">
      <c r="A212" s="255"/>
      <c r="B212" s="258" t="s">
        <v>189</v>
      </c>
      <c r="C212" s="258"/>
      <c r="D212" s="258"/>
      <c r="E212" s="258"/>
      <c r="F212" s="258"/>
      <c r="G212" s="256"/>
      <c r="H212" s="258"/>
      <c r="I212" s="256">
        <f>SUM(I203:I211)</f>
        <v>6262</v>
      </c>
      <c r="J212" s="259">
        <f>SUM(J203:J211)</f>
        <v>0.99999999999999989</v>
      </c>
      <c r="K212" s="260">
        <f>SUM(K203:K211)</f>
        <v>149387</v>
      </c>
      <c r="L212" s="259">
        <f>SUM(L203:L211)</f>
        <v>1.0000000000000002</v>
      </c>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1.1113999999999999</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JANUARY 2011</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phoneticPr fontId="0" type="noConversion"/>
  <hyperlinks>
    <hyperlink ref="I10" r:id="rId1" xr:uid="{00000000-0004-0000-1700-000000000000}"/>
    <hyperlink ref="K200" r:id="rId2" xr:uid="{00000000-0004-0000-17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89CB31"/>
  </sheetPr>
  <dimension ref="A1:P225"/>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5.6" x14ac:dyDescent="0.3">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40681</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121</v>
      </c>
      <c r="D27" s="341"/>
      <c r="E27" s="341" t="s">
        <v>125</v>
      </c>
      <c r="F27" s="341"/>
      <c r="G27" s="341" t="s">
        <v>239</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80386.660199999998</v>
      </c>
      <c r="D31" s="345"/>
      <c r="E31" s="344">
        <f>E30*E34</f>
        <v>42000</v>
      </c>
      <c r="F31" s="344"/>
      <c r="G31" s="344">
        <f>G30*G34</f>
        <v>27000</v>
      </c>
      <c r="H31" s="346"/>
      <c r="I31" s="346"/>
      <c r="J31" s="346"/>
      <c r="K31" s="346"/>
      <c r="L31" s="347"/>
      <c r="M31" s="344">
        <f>C31+E31+G31</f>
        <v>149386.66019999998</v>
      </c>
      <c r="N31" s="348"/>
      <c r="O31" s="6"/>
    </row>
    <row r="32" spans="1:15" ht="15.6" x14ac:dyDescent="0.3">
      <c r="A32" s="340"/>
      <c r="B32" s="319" t="s">
        <v>16</v>
      </c>
      <c r="C32" s="349">
        <f>C30*C33</f>
        <v>77542.819199999998</v>
      </c>
      <c r="D32" s="350"/>
      <c r="E32" s="349">
        <f>E30*E33</f>
        <v>40369.601999999999</v>
      </c>
      <c r="F32" s="349"/>
      <c r="G32" s="349">
        <f>G30*G33</f>
        <v>25951.886999999999</v>
      </c>
      <c r="H32" s="351"/>
      <c r="I32" s="351"/>
      <c r="J32" s="351"/>
      <c r="K32" s="351"/>
      <c r="L32" s="352"/>
      <c r="M32" s="344">
        <f>C32+E32+G32</f>
        <v>143864.3082</v>
      </c>
      <c r="N32" s="348"/>
      <c r="O32" s="6"/>
    </row>
    <row r="33" spans="1:15" ht="15.6" x14ac:dyDescent="0.3">
      <c r="A33" s="340"/>
      <c r="B33" s="278" t="s">
        <v>174</v>
      </c>
      <c r="C33" s="371">
        <v>0.33568320000000001</v>
      </c>
      <c r="D33" s="372"/>
      <c r="E33" s="371">
        <v>0.96118099999999995</v>
      </c>
      <c r="F33" s="371"/>
      <c r="G33" s="371">
        <v>0.96118099999999995</v>
      </c>
      <c r="H33" s="373"/>
      <c r="I33" s="373"/>
      <c r="J33" s="351"/>
      <c r="K33" s="351"/>
      <c r="L33" s="352"/>
      <c r="M33" s="351"/>
      <c r="N33" s="348"/>
      <c r="O33" s="6"/>
    </row>
    <row r="34" spans="1:15" ht="15.6" x14ac:dyDescent="0.3">
      <c r="A34" s="340"/>
      <c r="B34" s="278" t="s">
        <v>175</v>
      </c>
      <c r="C34" s="371">
        <v>0.34799419999999998</v>
      </c>
      <c r="D34" s="372"/>
      <c r="E34" s="371">
        <v>1</v>
      </c>
      <c r="F34" s="371"/>
      <c r="G34" s="371">
        <v>1</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1.2033800000000001E-2</v>
      </c>
      <c r="D36" s="258"/>
      <c r="E36" s="356">
        <v>2.30338E-2</v>
      </c>
      <c r="F36" s="304"/>
      <c r="G36" s="356">
        <v>2.8033800000000001E-2</v>
      </c>
      <c r="H36" s="304"/>
      <c r="I36" s="356"/>
      <c r="J36" s="304"/>
      <c r="K36" s="356"/>
      <c r="L36" s="321"/>
      <c r="M36" s="304">
        <f>SUMPRODUCT(C36:G36,C31:G31)/M31</f>
        <v>1.8018270091259198E-2</v>
      </c>
      <c r="N36" s="264"/>
      <c r="O36" s="6"/>
    </row>
    <row r="37" spans="1:15" ht="15.6" x14ac:dyDescent="0.3">
      <c r="A37" s="307"/>
      <c r="B37" s="258" t="s">
        <v>19</v>
      </c>
      <c r="C37" s="356">
        <v>1.1375E-2</v>
      </c>
      <c r="D37" s="258"/>
      <c r="E37" s="356">
        <v>2.2374999999999999E-2</v>
      </c>
      <c r="F37" s="304"/>
      <c r="G37" s="356">
        <v>2.7375E-2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0.85528859647135458</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40679</v>
      </c>
      <c r="N47" s="264"/>
      <c r="O47" s="6"/>
    </row>
    <row r="48" spans="1:15" ht="15.6" x14ac:dyDescent="0.3">
      <c r="A48" s="307"/>
      <c r="B48" s="258" t="s">
        <v>26</v>
      </c>
      <c r="C48" s="258"/>
      <c r="D48" s="258"/>
      <c r="E48" s="258"/>
      <c r="F48" s="258"/>
      <c r="G48" s="258"/>
      <c r="H48" s="258"/>
      <c r="I48" s="258"/>
      <c r="J48" s="258">
        <f>M48-K48+1</f>
        <v>92</v>
      </c>
      <c r="K48" s="360">
        <v>40497</v>
      </c>
      <c r="L48" s="361"/>
      <c r="M48" s="360">
        <v>40588</v>
      </c>
      <c r="N48" s="264"/>
      <c r="O48" s="6"/>
    </row>
    <row r="49" spans="1:15" ht="15.6" x14ac:dyDescent="0.3">
      <c r="A49" s="307"/>
      <c r="B49" s="258" t="s">
        <v>27</v>
      </c>
      <c r="C49" s="258"/>
      <c r="D49" s="258"/>
      <c r="E49" s="258"/>
      <c r="F49" s="258"/>
      <c r="G49" s="258"/>
      <c r="H49" s="258"/>
      <c r="I49" s="258"/>
      <c r="J49" s="258">
        <f>M49-K49+1</f>
        <v>90</v>
      </c>
      <c r="K49" s="360">
        <v>40589</v>
      </c>
      <c r="L49" s="361"/>
      <c r="M49" s="360">
        <v>40678</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40666</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248</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149387</v>
      </c>
      <c r="F58" s="256"/>
      <c r="G58" s="256">
        <f>4514+1009</f>
        <v>5523</v>
      </c>
      <c r="H58" s="256"/>
      <c r="I58" s="256">
        <v>0</v>
      </c>
      <c r="J58" s="256"/>
      <c r="K58" s="256">
        <v>0</v>
      </c>
      <c r="L58" s="256"/>
      <c r="M58" s="260">
        <f>E58-G58+I58-K58</f>
        <v>143864</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149387</v>
      </c>
      <c r="F62" s="256"/>
      <c r="G62" s="256">
        <f>SUM(G58:G61)</f>
        <v>5523</v>
      </c>
      <c r="H62" s="256"/>
      <c r="I62" s="256">
        <f>SUM(I58:I61)</f>
        <v>0</v>
      </c>
      <c r="J62" s="256"/>
      <c r="K62" s="256">
        <f>SUM(K58:K61)</f>
        <v>0</v>
      </c>
      <c r="L62" s="256"/>
      <c r="M62" s="256">
        <f>SUM(M58:M61)</f>
        <v>143864</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149387</v>
      </c>
      <c r="F75" s="256"/>
      <c r="G75" s="256"/>
      <c r="H75" s="256"/>
      <c r="I75" s="256"/>
      <c r="J75" s="256"/>
      <c r="K75" s="256"/>
      <c r="L75" s="256"/>
      <c r="M75" s="256">
        <f>SUM(M62:M74)</f>
        <v>143864</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40661</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5523-1009</f>
        <v>4514</v>
      </c>
      <c r="L80" s="258"/>
      <c r="M80" s="260"/>
      <c r="N80" s="264"/>
      <c r="O80" s="6"/>
    </row>
    <row r="81" spans="1:16" ht="15.6" x14ac:dyDescent="0.3">
      <c r="A81" s="307"/>
      <c r="B81" s="258" t="s">
        <v>204</v>
      </c>
      <c r="C81" s="290"/>
      <c r="D81" s="325"/>
      <c r="E81" s="326"/>
      <c r="F81" s="258"/>
      <c r="G81" s="258"/>
      <c r="H81" s="258"/>
      <c r="I81" s="258"/>
      <c r="J81" s="258"/>
      <c r="K81" s="256"/>
      <c r="L81" s="258"/>
      <c r="M81" s="260">
        <f>5725+23-2562</f>
        <v>3186</v>
      </c>
      <c r="N81" s="264"/>
      <c r="O81" s="6"/>
    </row>
    <row r="82" spans="1:16" ht="15.6" x14ac:dyDescent="0.3">
      <c r="A82" s="307"/>
      <c r="B82" s="258" t="s">
        <v>205</v>
      </c>
      <c r="C82" s="290"/>
      <c r="D82" s="325"/>
      <c r="E82" s="326"/>
      <c r="F82" s="258"/>
      <c r="G82" s="258"/>
      <c r="H82" s="258"/>
      <c r="I82" s="258"/>
      <c r="J82" s="258"/>
      <c r="K82" s="256"/>
      <c r="L82" s="258"/>
      <c r="M82" s="260">
        <v>188</v>
      </c>
      <c r="N82" s="264"/>
      <c r="O82" s="6"/>
    </row>
    <row r="83" spans="1:16" ht="15.6" x14ac:dyDescent="0.3">
      <c r="A83" s="307"/>
      <c r="B83" s="258" t="s">
        <v>206</v>
      </c>
      <c r="C83" s="290"/>
      <c r="D83" s="325"/>
      <c r="E83" s="326"/>
      <c r="F83" s="258"/>
      <c r="G83" s="258"/>
      <c r="H83" s="258"/>
      <c r="I83" s="258"/>
      <c r="J83" s="258"/>
      <c r="K83" s="256"/>
      <c r="L83" s="258"/>
      <c r="M83" s="260">
        <v>35</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4514</v>
      </c>
      <c r="L85" s="258"/>
      <c r="M85" s="256">
        <f>SUM(M79:M84)</f>
        <v>3409</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4514</v>
      </c>
      <c r="L87" s="258"/>
      <c r="M87" s="256">
        <f>M85+M86</f>
        <v>3409</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-55-48-2</f>
        <v>-105</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-239</v>
      </c>
      <c r="N93" s="311"/>
      <c r="O93" s="6"/>
    </row>
    <row r="94" spans="1:16" ht="15.6" x14ac:dyDescent="0.3">
      <c r="A94" s="255">
        <v>5</v>
      </c>
      <c r="B94" s="258" t="s">
        <v>52</v>
      </c>
      <c r="C94" s="258"/>
      <c r="D94" s="258"/>
      <c r="E94" s="258"/>
      <c r="F94" s="258"/>
      <c r="G94" s="258"/>
      <c r="H94" s="258"/>
      <c r="I94" s="258"/>
      <c r="J94" s="258"/>
      <c r="K94" s="258"/>
      <c r="L94" s="258"/>
      <c r="M94" s="260">
        <v>-239</v>
      </c>
      <c r="N94" s="311"/>
      <c r="O94" s="6"/>
    </row>
    <row r="95" spans="1:16" ht="15.6" x14ac:dyDescent="0.3">
      <c r="A95" s="255">
        <v>6</v>
      </c>
      <c r="B95" s="258" t="s">
        <v>172</v>
      </c>
      <c r="C95" s="258"/>
      <c r="D95" s="258"/>
      <c r="E95" s="258"/>
      <c r="F95" s="258"/>
      <c r="G95" s="258"/>
      <c r="H95" s="258"/>
      <c r="I95" s="258"/>
      <c r="J95" s="258"/>
      <c r="K95" s="258"/>
      <c r="L95" s="258"/>
      <c r="M95" s="260">
        <v>-187</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1009</v>
      </c>
      <c r="L97" s="258"/>
      <c r="M97" s="260">
        <v>-1009</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-54</v>
      </c>
      <c r="N101" s="311"/>
      <c r="O101" s="6"/>
    </row>
    <row r="102" spans="1:16" ht="15.6" x14ac:dyDescent="0.3">
      <c r="A102" s="255">
        <v>13</v>
      </c>
      <c r="B102" s="258" t="s">
        <v>195</v>
      </c>
      <c r="C102" s="258"/>
      <c r="D102" s="258"/>
      <c r="E102" s="258"/>
      <c r="F102" s="258"/>
      <c r="G102" s="258"/>
      <c r="H102" s="258"/>
      <c r="I102" s="258"/>
      <c r="J102" s="258"/>
      <c r="K102" s="258"/>
      <c r="L102" s="258"/>
      <c r="M102" s="260">
        <f>-M87-SUM(M89:M101)</f>
        <v>-1567</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-2844</v>
      </c>
      <c r="L107" s="256"/>
      <c r="M107" s="260"/>
      <c r="N107" s="311"/>
      <c r="O107" s="6"/>
    </row>
    <row r="108" spans="1:16" ht="15.6" x14ac:dyDescent="0.3">
      <c r="A108" s="307"/>
      <c r="B108" s="258" t="s">
        <v>59</v>
      </c>
      <c r="C108" s="258"/>
      <c r="D108" s="258"/>
      <c r="E108" s="258"/>
      <c r="F108" s="258"/>
      <c r="G108" s="258"/>
      <c r="H108" s="258"/>
      <c r="I108" s="258"/>
      <c r="J108" s="258"/>
      <c r="K108" s="256">
        <v>-1631</v>
      </c>
      <c r="L108" s="256"/>
      <c r="M108" s="260"/>
      <c r="N108" s="311"/>
      <c r="O108" s="6"/>
    </row>
    <row r="109" spans="1:16" ht="15.6" x14ac:dyDescent="0.3">
      <c r="A109" s="307"/>
      <c r="B109" s="258" t="s">
        <v>186</v>
      </c>
      <c r="C109" s="258"/>
      <c r="D109" s="258"/>
      <c r="E109" s="258"/>
      <c r="F109" s="258"/>
      <c r="G109" s="258"/>
      <c r="H109" s="258"/>
      <c r="I109" s="258"/>
      <c r="J109" s="258"/>
      <c r="K109" s="256">
        <v>-1048</v>
      </c>
      <c r="L109" s="256"/>
      <c r="M109" s="260"/>
      <c r="N109" s="311"/>
      <c r="O109" s="6"/>
    </row>
    <row r="110" spans="1:16" ht="15.6" x14ac:dyDescent="0.3">
      <c r="A110" s="307"/>
      <c r="B110" s="258" t="s">
        <v>60</v>
      </c>
      <c r="C110" s="258"/>
      <c r="D110" s="258"/>
      <c r="E110" s="258"/>
      <c r="F110" s="258"/>
      <c r="G110" s="258"/>
      <c r="H110" s="258"/>
      <c r="I110" s="258"/>
      <c r="J110" s="258"/>
      <c r="K110" s="256">
        <f>+K105+K106+K107+K108+K109</f>
        <v>-5523</v>
      </c>
      <c r="L110" s="256"/>
      <c r="M110" s="256">
        <f>SUM(M88:M109)</f>
        <v>-3409</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APRIL 2011</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404</v>
      </c>
      <c r="N137" s="264"/>
      <c r="O137" s="6"/>
    </row>
    <row r="138" spans="1:15" ht="15.6" x14ac:dyDescent="0.3">
      <c r="A138" s="307"/>
      <c r="B138" s="258" t="s">
        <v>180</v>
      </c>
      <c r="C138" s="258"/>
      <c r="D138" s="258"/>
      <c r="E138" s="258"/>
      <c r="F138" s="258"/>
      <c r="G138" s="258"/>
      <c r="H138" s="258"/>
      <c r="I138" s="258"/>
      <c r="J138" s="258"/>
      <c r="K138" s="258"/>
      <c r="L138" s="258"/>
      <c r="M138" s="260">
        <f>533+72</f>
        <v>605</v>
      </c>
      <c r="N138" s="264"/>
      <c r="O138" s="6"/>
    </row>
    <row r="139" spans="1:15" ht="15.6" x14ac:dyDescent="0.3">
      <c r="A139" s="307"/>
      <c r="B139" s="258" t="s">
        <v>77</v>
      </c>
      <c r="C139" s="258"/>
      <c r="D139" s="258"/>
      <c r="E139" s="258"/>
      <c r="F139" s="258"/>
      <c r="G139" s="258"/>
      <c r="H139" s="258"/>
      <c r="I139" s="258"/>
      <c r="J139" s="258"/>
      <c r="K139" s="258"/>
      <c r="L139" s="258"/>
      <c r="M139" s="260">
        <f>M137+M136+M138</f>
        <v>1009</v>
      </c>
      <c r="N139" s="264"/>
      <c r="O139" s="6"/>
    </row>
    <row r="140" spans="1:15" ht="15.6" x14ac:dyDescent="0.3">
      <c r="A140" s="307"/>
      <c r="B140" s="258" t="s">
        <v>183</v>
      </c>
      <c r="C140" s="258"/>
      <c r="D140" s="258"/>
      <c r="E140" s="258"/>
      <c r="F140" s="258"/>
      <c r="G140" s="258"/>
      <c r="H140" s="258"/>
      <c r="I140" s="303"/>
      <c r="J140" s="258"/>
      <c r="K140" s="258"/>
      <c r="L140" s="258"/>
      <c r="M140" s="260">
        <f>M97</f>
        <v>-1009</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143864</v>
      </c>
      <c r="N146" s="318"/>
      <c r="O146" s="6"/>
      <c r="P146" s="117"/>
    </row>
    <row r="147" spans="1:16" ht="15.6" x14ac:dyDescent="0.3">
      <c r="A147" s="307"/>
      <c r="B147" s="258" t="s">
        <v>80</v>
      </c>
      <c r="C147" s="319"/>
      <c r="D147" s="319"/>
      <c r="E147" s="258"/>
      <c r="F147" s="258"/>
      <c r="G147" s="258"/>
      <c r="H147" s="258"/>
      <c r="I147" s="258"/>
      <c r="J147" s="258"/>
      <c r="K147" s="258"/>
      <c r="L147" s="258"/>
      <c r="M147" s="260">
        <f>M75</f>
        <v>143864</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+'Jan 2011'!I154</f>
        <v>7636</v>
      </c>
      <c r="J152" s="258"/>
      <c r="K152" s="260">
        <v>0</v>
      </c>
      <c r="L152" s="258"/>
      <c r="M152" s="260">
        <f>K152+I152</f>
        <v>7636</v>
      </c>
      <c r="N152" s="311"/>
      <c r="O152" s="6"/>
    </row>
    <row r="153" spans="1:16" ht="15.6" x14ac:dyDescent="0.3">
      <c r="A153" s="307"/>
      <c r="B153" s="258" t="s">
        <v>84</v>
      </c>
      <c r="C153" s="258"/>
      <c r="D153" s="258"/>
      <c r="E153" s="258"/>
      <c r="F153" s="258"/>
      <c r="G153" s="258"/>
      <c r="H153" s="258"/>
      <c r="I153" s="256">
        <v>0</v>
      </c>
      <c r="J153" s="258"/>
      <c r="K153" s="258">
        <v>0</v>
      </c>
      <c r="L153" s="258"/>
      <c r="M153" s="260">
        <f>K153+I153</f>
        <v>0</v>
      </c>
      <c r="N153" s="311"/>
      <c r="O153" s="6"/>
    </row>
    <row r="154" spans="1:16" ht="15.6" x14ac:dyDescent="0.3">
      <c r="A154" s="307"/>
      <c r="B154" s="258" t="s">
        <v>85</v>
      </c>
      <c r="C154" s="258"/>
      <c r="D154" s="258"/>
      <c r="E154" s="258"/>
      <c r="F154" s="258"/>
      <c r="G154" s="258"/>
      <c r="H154" s="258"/>
      <c r="I154" s="260">
        <f>I152+I153</f>
        <v>7636</v>
      </c>
      <c r="J154" s="258"/>
      <c r="K154" s="260">
        <f>K153+K152</f>
        <v>0</v>
      </c>
      <c r="L154" s="258"/>
      <c r="M154" s="260">
        <f>K154+I154</f>
        <v>7636</v>
      </c>
      <c r="N154" s="311"/>
      <c r="O154" s="6"/>
    </row>
    <row r="155" spans="1:16" ht="15.6" x14ac:dyDescent="0.3">
      <c r="A155" s="307"/>
      <c r="B155" s="258" t="s">
        <v>86</v>
      </c>
      <c r="C155" s="258"/>
      <c r="D155" s="258"/>
      <c r="E155" s="258"/>
      <c r="F155" s="258"/>
      <c r="G155" s="258"/>
      <c r="H155" s="258"/>
      <c r="I155" s="260">
        <f>I151-I154-K154</f>
        <v>7364</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13.815899581589958</v>
      </c>
      <c r="N159" s="264" t="s">
        <v>145</v>
      </c>
      <c r="O159" s="6"/>
    </row>
    <row r="160" spans="1:16" ht="15.6" x14ac:dyDescent="0.3">
      <c r="A160" s="307"/>
      <c r="B160" s="258" t="s">
        <v>89</v>
      </c>
      <c r="C160" s="258"/>
      <c r="D160" s="258"/>
      <c r="E160" s="258"/>
      <c r="F160" s="258"/>
      <c r="G160" s="258"/>
      <c r="H160" s="258"/>
      <c r="I160" s="258"/>
      <c r="J160" s="258"/>
      <c r="K160" s="258"/>
      <c r="L160" s="258"/>
      <c r="M160" s="309">
        <v>3.03</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12.815899581589958</v>
      </c>
      <c r="N161" s="264" t="s">
        <v>145</v>
      </c>
      <c r="O161" s="6"/>
    </row>
    <row r="162" spans="1:15" ht="15.6" x14ac:dyDescent="0.3">
      <c r="A162" s="307"/>
      <c r="B162" s="258" t="s">
        <v>91</v>
      </c>
      <c r="C162" s="258"/>
      <c r="D162" s="258"/>
      <c r="E162" s="258"/>
      <c r="F162" s="258"/>
      <c r="G162" s="258"/>
      <c r="H162" s="258"/>
      <c r="I162" s="258"/>
      <c r="J162" s="258"/>
      <c r="K162" s="258"/>
      <c r="L162" s="258"/>
      <c r="M162" s="310">
        <v>8.84</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15.101604278074866</v>
      </c>
      <c r="N163" s="264" t="s">
        <v>145</v>
      </c>
      <c r="O163" s="6"/>
    </row>
    <row r="164" spans="1:15" ht="15.6" x14ac:dyDescent="0.3">
      <c r="A164" s="307"/>
      <c r="B164" s="258" t="s">
        <v>182</v>
      </c>
      <c r="C164" s="258"/>
      <c r="D164" s="258"/>
      <c r="E164" s="258"/>
      <c r="F164" s="258"/>
      <c r="G164" s="258"/>
      <c r="H164" s="258"/>
      <c r="I164" s="258"/>
      <c r="J164" s="258"/>
      <c r="K164" s="258"/>
      <c r="L164" s="258"/>
      <c r="M164" s="310">
        <v>11.43</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APRIL 2011</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f>D78</f>
        <v>40661</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9.5399999999999999E-2</v>
      </c>
      <c r="L174" s="258"/>
      <c r="M174" s="258"/>
      <c r="N174" s="264"/>
      <c r="O174" s="6"/>
    </row>
    <row r="175" spans="1:15" ht="15.6" x14ac:dyDescent="0.3">
      <c r="A175" s="301"/>
      <c r="B175" s="258" t="s">
        <v>97</v>
      </c>
      <c r="C175" s="302"/>
      <c r="D175" s="302"/>
      <c r="E175" s="302"/>
      <c r="F175" s="302"/>
      <c r="G175" s="302"/>
      <c r="H175" s="303"/>
      <c r="I175" s="303"/>
      <c r="J175" s="303"/>
      <c r="K175" s="304">
        <f>M36</f>
        <v>1.8018270091259198E-2</v>
      </c>
      <c r="L175" s="258"/>
      <c r="M175" s="258"/>
      <c r="N175" s="264"/>
      <c r="O175" s="6"/>
    </row>
    <row r="176" spans="1:15" ht="15.6" x14ac:dyDescent="0.3">
      <c r="A176" s="301"/>
      <c r="B176" s="258" t="s">
        <v>98</v>
      </c>
      <c r="C176" s="302"/>
      <c r="D176" s="302"/>
      <c r="E176" s="302"/>
      <c r="F176" s="302"/>
      <c r="G176" s="302"/>
      <c r="H176" s="303"/>
      <c r="I176" s="303"/>
      <c r="J176" s="303"/>
      <c r="K176" s="304">
        <f>K174-K175</f>
        <v>7.7381729908740801E-2</v>
      </c>
      <c r="L176" s="258"/>
      <c r="M176" s="258"/>
      <c r="N176" s="264"/>
      <c r="O176" s="6"/>
    </row>
    <row r="177" spans="1:15" ht="15.6" x14ac:dyDescent="0.3">
      <c r="A177" s="301"/>
      <c r="B177" s="258" t="s">
        <v>211</v>
      </c>
      <c r="C177" s="302"/>
      <c r="D177" s="302"/>
      <c r="E177" s="302"/>
      <c r="F177" s="302"/>
      <c r="G177" s="302"/>
      <c r="H177" s="303"/>
      <c r="I177" s="303"/>
      <c r="J177" s="303"/>
      <c r="K177" s="304">
        <f>(+M87+M89)/E58</f>
        <v>2.2819924089780234E-2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13.53</v>
      </c>
      <c r="L182" s="258" t="s">
        <v>139</v>
      </c>
      <c r="M182" s="258"/>
      <c r="N182" s="264"/>
      <c r="O182" s="6"/>
    </row>
    <row r="183" spans="1:15" ht="15.6" x14ac:dyDescent="0.3">
      <c r="A183" s="301"/>
      <c r="B183" s="258" t="s">
        <v>103</v>
      </c>
      <c r="C183" s="302"/>
      <c r="D183" s="302"/>
      <c r="E183" s="302"/>
      <c r="F183" s="302"/>
      <c r="G183" s="302"/>
      <c r="H183" s="303"/>
      <c r="I183" s="303"/>
      <c r="J183" s="303"/>
      <c r="K183" s="304">
        <f>K80/E58</f>
        <v>3.0216819401955995E-2</v>
      </c>
      <c r="L183" s="258"/>
      <c r="M183" s="258"/>
      <c r="N183" s="264"/>
      <c r="O183" s="6"/>
    </row>
    <row r="184" spans="1:15" ht="15.6" x14ac:dyDescent="0.3">
      <c r="A184" s="301"/>
      <c r="B184" s="258" t="s">
        <v>104</v>
      </c>
      <c r="C184" s="302"/>
      <c r="D184" s="302"/>
      <c r="E184" s="302"/>
      <c r="F184" s="302"/>
      <c r="G184" s="302"/>
      <c r="H184" s="303"/>
      <c r="I184" s="303"/>
      <c r="J184" s="303"/>
      <c r="K184" s="304">
        <v>0.28039999999999998</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908</v>
      </c>
      <c r="K187" s="369">
        <v>24119</v>
      </c>
      <c r="L187" s="217"/>
      <c r="M187" s="229"/>
      <c r="N187" s="230"/>
      <c r="O187" s="6"/>
    </row>
    <row r="188" spans="1:15" ht="15.6" x14ac:dyDescent="0.3">
      <c r="A188" s="275"/>
      <c r="B188" s="258" t="s">
        <v>196</v>
      </c>
      <c r="C188" s="256"/>
      <c r="D188" s="256"/>
      <c r="E188" s="256"/>
      <c r="F188" s="256"/>
      <c r="G188" s="258"/>
      <c r="H188" s="258"/>
      <c r="I188" s="258"/>
      <c r="J188" s="276">
        <v>2</v>
      </c>
      <c r="K188" s="277">
        <v>33</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0</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58" t="s">
        <v>110</v>
      </c>
      <c r="C192" s="256"/>
      <c r="D192" s="256"/>
      <c r="E192" s="258"/>
      <c r="F192" s="258"/>
      <c r="G192" s="258"/>
      <c r="H192" s="258"/>
      <c r="I192" s="258"/>
      <c r="J192" s="258"/>
      <c r="K192" s="277">
        <f>+M139</f>
        <v>1009</v>
      </c>
      <c r="L192" s="258"/>
      <c r="M192" s="281"/>
      <c r="N192" s="286"/>
      <c r="O192" s="6"/>
    </row>
    <row r="193" spans="1:15" ht="15.6" x14ac:dyDescent="0.3">
      <c r="A193" s="275"/>
      <c r="B193" s="258" t="s">
        <v>111</v>
      </c>
      <c r="C193" s="256"/>
      <c r="D193" s="256"/>
      <c r="E193" s="256"/>
      <c r="F193" s="256"/>
      <c r="G193" s="256"/>
      <c r="H193" s="258"/>
      <c r="I193" s="258"/>
      <c r="J193" s="258"/>
      <c r="K193" s="277">
        <f>'Jan 2011'!K193+'April 2011'!K192</f>
        <v>25690</v>
      </c>
      <c r="L193" s="258"/>
      <c r="M193" s="281"/>
      <c r="N193" s="286"/>
      <c r="O193" s="6"/>
    </row>
    <row r="194" spans="1:15" ht="15.6" x14ac:dyDescent="0.3">
      <c r="A194" s="275"/>
      <c r="B194" s="258" t="s">
        <v>112</v>
      </c>
      <c r="C194" s="256"/>
      <c r="D194" s="256"/>
      <c r="E194" s="256"/>
      <c r="F194" s="256"/>
      <c r="G194" s="256"/>
      <c r="H194" s="258"/>
      <c r="I194" s="258"/>
      <c r="J194" s="258"/>
      <c r="K194" s="277">
        <f>+'Jan 2011'!K194+335</f>
        <v>6875</v>
      </c>
      <c r="L194" s="258"/>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6</v>
      </c>
      <c r="L196" s="258"/>
      <c r="M196" s="261"/>
      <c r="N196" s="286"/>
      <c r="O196" s="6"/>
    </row>
    <row r="197" spans="1:15" ht="15.6" x14ac:dyDescent="0.3">
      <c r="A197" s="275"/>
      <c r="B197" s="258" t="s">
        <v>113</v>
      </c>
      <c r="C197" s="256"/>
      <c r="D197" s="256"/>
      <c r="E197" s="290"/>
      <c r="F197" s="290"/>
      <c r="G197" s="291"/>
      <c r="H197" s="258"/>
      <c r="I197" s="258"/>
      <c r="J197" s="258"/>
      <c r="K197" s="292">
        <v>13.76</v>
      </c>
      <c r="L197" s="258"/>
      <c r="M197" s="261"/>
      <c r="N197" s="286"/>
      <c r="O197" s="6"/>
    </row>
    <row r="198" spans="1:15" ht="15.6" x14ac:dyDescent="0.3">
      <c r="A198" s="275"/>
      <c r="B198" s="258" t="s">
        <v>114</v>
      </c>
      <c r="C198" s="256"/>
      <c r="D198" s="256"/>
      <c r="E198" s="290"/>
      <c r="F198" s="290"/>
      <c r="G198" s="291"/>
      <c r="H198" s="258"/>
      <c r="I198" s="258"/>
      <c r="J198" s="258"/>
      <c r="K198" s="292">
        <v>6.14</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5197</v>
      </c>
      <c r="J203" s="232">
        <f>I203/I212</f>
        <v>0.8512694512694513</v>
      </c>
      <c r="K203" s="221">
        <v>119745</v>
      </c>
      <c r="L203" s="232">
        <f>K203/K212</f>
        <v>0.83234860701773894</v>
      </c>
      <c r="M203" s="228"/>
      <c r="N203" s="218"/>
      <c r="O203" s="6"/>
    </row>
    <row r="204" spans="1:15" ht="15.6" x14ac:dyDescent="0.3">
      <c r="A204" s="255"/>
      <c r="B204" s="256" t="s">
        <v>117</v>
      </c>
      <c r="C204" s="257"/>
      <c r="D204" s="257"/>
      <c r="E204" s="256"/>
      <c r="F204" s="257"/>
      <c r="G204" s="258"/>
      <c r="H204" s="259"/>
      <c r="I204" s="256">
        <v>218</v>
      </c>
      <c r="J204" s="259">
        <f>I204/I212</f>
        <v>3.570843570843571E-2</v>
      </c>
      <c r="K204" s="260">
        <v>5409</v>
      </c>
      <c r="L204" s="259">
        <f>K204/K212</f>
        <v>3.7598009230940331E-2</v>
      </c>
      <c r="M204" s="261"/>
      <c r="N204" s="263"/>
      <c r="O204" s="6"/>
    </row>
    <row r="205" spans="1:15" ht="15.6" x14ac:dyDescent="0.3">
      <c r="A205" s="255"/>
      <c r="B205" s="256" t="s">
        <v>118</v>
      </c>
      <c r="C205" s="257"/>
      <c r="D205" s="257"/>
      <c r="E205" s="256"/>
      <c r="F205" s="257"/>
      <c r="G205" s="258"/>
      <c r="H205" s="259"/>
      <c r="I205" s="256">
        <v>198</v>
      </c>
      <c r="J205" s="259">
        <f>I205/I212</f>
        <v>3.2432432432432434E-2</v>
      </c>
      <c r="K205" s="260">
        <v>5550</v>
      </c>
      <c r="L205" s="259">
        <f>K205/K212</f>
        <v>3.8578101540343655E-2</v>
      </c>
      <c r="M205" s="261"/>
      <c r="N205" s="263"/>
      <c r="O205" s="6"/>
    </row>
    <row r="206" spans="1:15" ht="15.6" x14ac:dyDescent="0.3">
      <c r="A206" s="255"/>
      <c r="B206" s="256" t="s">
        <v>167</v>
      </c>
      <c r="C206" s="257"/>
      <c r="D206" s="257"/>
      <c r="E206" s="256"/>
      <c r="F206" s="257"/>
      <c r="G206" s="258"/>
      <c r="H206" s="259"/>
      <c r="I206" s="256">
        <v>119</v>
      </c>
      <c r="J206" s="259">
        <f>I206/I212</f>
        <v>1.9492219492219492E-2</v>
      </c>
      <c r="K206" s="260">
        <v>3044</v>
      </c>
      <c r="L206" s="259">
        <f>K206/K212</f>
        <v>2.1158872268253349E-2</v>
      </c>
      <c r="M206" s="261"/>
      <c r="N206" s="262"/>
      <c r="O206" s="6"/>
    </row>
    <row r="207" spans="1:15" ht="15.6" x14ac:dyDescent="0.3">
      <c r="A207" s="255"/>
      <c r="B207" s="256" t="s">
        <v>168</v>
      </c>
      <c r="C207" s="257"/>
      <c r="D207" s="257"/>
      <c r="E207" s="256"/>
      <c r="F207" s="257"/>
      <c r="G207" s="258"/>
      <c r="H207" s="259"/>
      <c r="I207" s="256">
        <v>86</v>
      </c>
      <c r="J207" s="259">
        <f>I207/I212</f>
        <v>1.4086814086814087E-2</v>
      </c>
      <c r="K207" s="260">
        <v>2240</v>
      </c>
      <c r="L207" s="259">
        <f>K207/K212</f>
        <v>1.5570260801868432E-2</v>
      </c>
      <c r="M207" s="261"/>
      <c r="N207" s="262"/>
      <c r="O207" s="6"/>
    </row>
    <row r="208" spans="1:15" ht="15.6" x14ac:dyDescent="0.3">
      <c r="A208" s="255"/>
      <c r="B208" s="256" t="s">
        <v>169</v>
      </c>
      <c r="C208" s="257"/>
      <c r="D208" s="257"/>
      <c r="E208" s="256"/>
      <c r="F208" s="257"/>
      <c r="G208" s="258"/>
      <c r="H208" s="259"/>
      <c r="I208" s="256">
        <v>67</v>
      </c>
      <c r="J208" s="259">
        <f>I208/I212</f>
        <v>1.0974610974610974E-2</v>
      </c>
      <c r="K208" s="260">
        <v>1854</v>
      </c>
      <c r="L208" s="259">
        <f>K208/K212</f>
        <v>1.2887171217260747E-2</v>
      </c>
      <c r="M208" s="261"/>
      <c r="N208" s="262"/>
      <c r="O208" s="6"/>
    </row>
    <row r="209" spans="1:15" ht="15.6" x14ac:dyDescent="0.3">
      <c r="A209" s="255"/>
      <c r="B209" s="256" t="s">
        <v>176</v>
      </c>
      <c r="C209" s="257"/>
      <c r="D209" s="257"/>
      <c r="E209" s="256"/>
      <c r="F209" s="257"/>
      <c r="G209" s="258"/>
      <c r="H209" s="259"/>
      <c r="I209" s="256">
        <v>143</v>
      </c>
      <c r="J209" s="259">
        <f>I209/I212</f>
        <v>2.3423423423423424E-2</v>
      </c>
      <c r="K209" s="260">
        <v>3825</v>
      </c>
      <c r="L209" s="259">
        <f>K209/K212</f>
        <v>2.6587610521047658E-2</v>
      </c>
      <c r="M209" s="374"/>
      <c r="N209" s="263"/>
      <c r="O209" s="6"/>
    </row>
    <row r="210" spans="1:15" ht="15.6" x14ac:dyDescent="0.3">
      <c r="A210" s="255"/>
      <c r="B210" s="256" t="s">
        <v>202</v>
      </c>
      <c r="C210" s="257"/>
      <c r="D210" s="257"/>
      <c r="E210" s="256"/>
      <c r="F210" s="257"/>
      <c r="G210" s="258"/>
      <c r="H210" s="259"/>
      <c r="I210" s="256">
        <v>77</v>
      </c>
      <c r="J210" s="259">
        <f>+I210/I212</f>
        <v>1.2612612612612612E-2</v>
      </c>
      <c r="K210" s="260">
        <v>2197</v>
      </c>
      <c r="L210" s="259">
        <f>+K210/K212</f>
        <v>1.5271367402546849E-2</v>
      </c>
      <c r="M210" s="261"/>
      <c r="N210" s="263"/>
      <c r="O210" s="6"/>
    </row>
    <row r="211" spans="1:15" ht="15.6" x14ac:dyDescent="0.3">
      <c r="A211" s="255"/>
      <c r="B211" s="256" t="s">
        <v>170</v>
      </c>
      <c r="C211" s="257"/>
      <c r="D211" s="257"/>
      <c r="E211" s="256"/>
      <c r="F211" s="257"/>
      <c r="G211" s="256"/>
      <c r="H211" s="259"/>
      <c r="I211" s="256">
        <v>0</v>
      </c>
      <c r="J211" s="259">
        <f>I211/I212</f>
        <v>0</v>
      </c>
      <c r="K211" s="260">
        <v>0</v>
      </c>
      <c r="L211" s="259">
        <f>+K211/K212</f>
        <v>0</v>
      </c>
      <c r="M211" s="261"/>
      <c r="N211" s="263"/>
      <c r="O211" s="6"/>
    </row>
    <row r="212" spans="1:15" ht="15.6" x14ac:dyDescent="0.3">
      <c r="A212" s="255"/>
      <c r="B212" s="258" t="s">
        <v>189</v>
      </c>
      <c r="C212" s="258"/>
      <c r="D212" s="258"/>
      <c r="E212" s="258"/>
      <c r="F212" s="258"/>
      <c r="G212" s="256"/>
      <c r="H212" s="258"/>
      <c r="I212" s="256">
        <f>SUM(I203:I211)</f>
        <v>6105</v>
      </c>
      <c r="J212" s="259">
        <f>SUM(J203:J211)</f>
        <v>1</v>
      </c>
      <c r="K212" s="260">
        <f>SUM(K203:K211)</f>
        <v>143864</v>
      </c>
      <c r="L212" s="259">
        <f>SUM(L203:L211)</f>
        <v>1</v>
      </c>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1.0026999999999999</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APRIL 2011</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phoneticPr fontId="0" type="noConversion"/>
  <hyperlinks>
    <hyperlink ref="I10" r:id="rId1" xr:uid="{00000000-0004-0000-1800-000000000000}"/>
    <hyperlink ref="K200" r:id="rId2" xr:uid="{00000000-0004-0000-18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2D2926"/>
  </sheetPr>
  <dimension ref="A1:P225"/>
  <sheetViews>
    <sheetView showOutlineSymbols="0" zoomScale="70" zoomScaleNormal="70" workbookViewId="0">
      <selection activeCell="C47" activeCellId="1" sqref="A1 C47"/>
    </sheetView>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5.6" x14ac:dyDescent="0.3">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40772</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121</v>
      </c>
      <c r="D27" s="341"/>
      <c r="E27" s="341" t="s">
        <v>125</v>
      </c>
      <c r="F27" s="341"/>
      <c r="G27" s="341" t="s">
        <v>239</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77542.819199999998</v>
      </c>
      <c r="D31" s="345"/>
      <c r="E31" s="344">
        <f>E30*E34</f>
        <v>40369.601999999999</v>
      </c>
      <c r="F31" s="344"/>
      <c r="G31" s="344">
        <f>G30*G34</f>
        <v>25951.886999999999</v>
      </c>
      <c r="H31" s="346"/>
      <c r="I31" s="346"/>
      <c r="J31" s="346"/>
      <c r="K31" s="346"/>
      <c r="L31" s="347"/>
      <c r="M31" s="344">
        <f>C31+E31+G31</f>
        <v>143864.3082</v>
      </c>
      <c r="N31" s="348"/>
      <c r="O31" s="6"/>
    </row>
    <row r="32" spans="1:15" ht="15.6" x14ac:dyDescent="0.3">
      <c r="A32" s="340"/>
      <c r="B32" s="319" t="s">
        <v>16</v>
      </c>
      <c r="C32" s="349">
        <f>C30*C33</f>
        <v>74379.0432</v>
      </c>
      <c r="D32" s="350"/>
      <c r="E32" s="349">
        <f>E30*E33</f>
        <v>38722.496400000004</v>
      </c>
      <c r="F32" s="349"/>
      <c r="G32" s="349">
        <f>G30*G33</f>
        <v>24893.0334</v>
      </c>
      <c r="H32" s="351"/>
      <c r="I32" s="351"/>
      <c r="J32" s="351"/>
      <c r="K32" s="351"/>
      <c r="L32" s="352"/>
      <c r="M32" s="344">
        <f>C32+E32+G32</f>
        <v>137994.573</v>
      </c>
      <c r="N32" s="348"/>
      <c r="O32" s="6"/>
    </row>
    <row r="33" spans="1:15" ht="15.6" x14ac:dyDescent="0.3">
      <c r="A33" s="340"/>
      <c r="B33" s="278" t="s">
        <v>174</v>
      </c>
      <c r="C33" s="371">
        <v>0.32198719999999997</v>
      </c>
      <c r="D33" s="372"/>
      <c r="E33" s="371">
        <v>0.92196420000000001</v>
      </c>
      <c r="F33" s="371"/>
      <c r="G33" s="371">
        <v>0.92196420000000001</v>
      </c>
      <c r="H33" s="373"/>
      <c r="I33" s="373"/>
      <c r="J33" s="351"/>
      <c r="K33" s="351"/>
      <c r="L33" s="352"/>
      <c r="M33" s="351"/>
      <c r="N33" s="348"/>
      <c r="O33" s="6"/>
    </row>
    <row r="34" spans="1:15" ht="15.6" x14ac:dyDescent="0.3">
      <c r="A34" s="340"/>
      <c r="B34" s="278" t="s">
        <v>175</v>
      </c>
      <c r="C34" s="371">
        <v>0.33568320000000001</v>
      </c>
      <c r="D34" s="372"/>
      <c r="E34" s="371">
        <v>0.96118099999999995</v>
      </c>
      <c r="F34" s="371"/>
      <c r="G34" s="371">
        <v>0.96118099999999995</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1.22188E-2</v>
      </c>
      <c r="D36" s="258"/>
      <c r="E36" s="356">
        <v>2.3218800000000001E-2</v>
      </c>
      <c r="F36" s="304"/>
      <c r="G36" s="356">
        <v>2.8218799999999999E-2</v>
      </c>
      <c r="H36" s="304"/>
      <c r="I36" s="356"/>
      <c r="J36" s="304"/>
      <c r="K36" s="356"/>
      <c r="L36" s="321"/>
      <c r="M36" s="304">
        <f>SUMPRODUCT(C36:G36,C31:G31)/M31</f>
        <v>1.819176038712679E-2</v>
      </c>
      <c r="N36" s="264"/>
      <c r="O36" s="6"/>
    </row>
    <row r="37" spans="1:15" ht="15.6" x14ac:dyDescent="0.3">
      <c r="A37" s="307"/>
      <c r="B37" s="258" t="s">
        <v>19</v>
      </c>
      <c r="C37" s="356">
        <v>1.2033800000000001E-2</v>
      </c>
      <c r="D37" s="258"/>
      <c r="E37" s="356">
        <v>2.30338E-2</v>
      </c>
      <c r="F37" s="304"/>
      <c r="G37" s="356">
        <v>2.8033800000000001E-2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0.85528835896614497</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40770</v>
      </c>
      <c r="N47" s="264"/>
      <c r="O47" s="6"/>
    </row>
    <row r="48" spans="1:15" ht="15.6" x14ac:dyDescent="0.3">
      <c r="A48" s="307"/>
      <c r="B48" s="258" t="s">
        <v>26</v>
      </c>
      <c r="C48" s="258"/>
      <c r="D48" s="258"/>
      <c r="E48" s="258"/>
      <c r="F48" s="258"/>
      <c r="G48" s="258"/>
      <c r="H48" s="258"/>
      <c r="I48" s="258"/>
      <c r="J48" s="258">
        <f>M48-K48+1</f>
        <v>90</v>
      </c>
      <c r="K48" s="360">
        <v>40589</v>
      </c>
      <c r="L48" s="361"/>
      <c r="M48" s="360">
        <v>40678</v>
      </c>
      <c r="N48" s="264"/>
      <c r="O48" s="6"/>
    </row>
    <row r="49" spans="1:15" ht="15.6" x14ac:dyDescent="0.3">
      <c r="A49" s="307"/>
      <c r="B49" s="258" t="s">
        <v>27</v>
      </c>
      <c r="C49" s="258"/>
      <c r="D49" s="258"/>
      <c r="E49" s="258"/>
      <c r="F49" s="258"/>
      <c r="G49" s="258"/>
      <c r="H49" s="258"/>
      <c r="I49" s="258"/>
      <c r="J49" s="258">
        <f>M49-K49+1</f>
        <v>91</v>
      </c>
      <c r="K49" s="360">
        <v>40679</v>
      </c>
      <c r="L49" s="361"/>
      <c r="M49" s="360">
        <v>40769</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40756</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249</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143864</v>
      </c>
      <c r="F58" s="256"/>
      <c r="G58" s="256">
        <f>4674+1195</f>
        <v>5869</v>
      </c>
      <c r="H58" s="256"/>
      <c r="I58" s="256">
        <v>0</v>
      </c>
      <c r="J58" s="256"/>
      <c r="K58" s="256">
        <v>0</v>
      </c>
      <c r="L58" s="256"/>
      <c r="M58" s="260">
        <f>E58-G58+I58-K58</f>
        <v>137995</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143864</v>
      </c>
      <c r="F62" s="256"/>
      <c r="G62" s="256">
        <f>SUM(G58:G61)</f>
        <v>5869</v>
      </c>
      <c r="H62" s="256"/>
      <c r="I62" s="256">
        <f>SUM(I58:I61)</f>
        <v>0</v>
      </c>
      <c r="J62" s="256"/>
      <c r="K62" s="256">
        <f>SUM(K58:K61)</f>
        <v>0</v>
      </c>
      <c r="L62" s="256"/>
      <c r="M62" s="256">
        <f>SUM(M58:M61)</f>
        <v>137995</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143864</v>
      </c>
      <c r="F75" s="256"/>
      <c r="G75" s="256"/>
      <c r="H75" s="256"/>
      <c r="I75" s="256"/>
      <c r="J75" s="256"/>
      <c r="K75" s="256"/>
      <c r="L75" s="256"/>
      <c r="M75" s="256">
        <f>SUM(M62:M74)</f>
        <v>137995</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40753</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5869-1195</f>
        <v>4674</v>
      </c>
      <c r="L80" s="258"/>
      <c r="M80" s="260"/>
      <c r="N80" s="264"/>
      <c r="O80" s="6"/>
    </row>
    <row r="81" spans="1:16" ht="15.6" x14ac:dyDescent="0.3">
      <c r="A81" s="307"/>
      <c r="B81" s="258" t="s">
        <v>204</v>
      </c>
      <c r="C81" s="290"/>
      <c r="D81" s="325"/>
      <c r="E81" s="326"/>
      <c r="F81" s="258"/>
      <c r="G81" s="258"/>
      <c r="H81" s="258"/>
      <c r="I81" s="258"/>
      <c r="J81" s="258"/>
      <c r="K81" s="256"/>
      <c r="L81" s="258"/>
      <c r="M81" s="260">
        <f>5934+71-2214</f>
        <v>3791</v>
      </c>
      <c r="N81" s="264"/>
      <c r="O81" s="6"/>
    </row>
    <row r="82" spans="1:16" ht="15.6" x14ac:dyDescent="0.3">
      <c r="A82" s="307"/>
      <c r="B82" s="258" t="s">
        <v>205</v>
      </c>
      <c r="C82" s="290"/>
      <c r="D82" s="325"/>
      <c r="E82" s="326"/>
      <c r="F82" s="258"/>
      <c r="G82" s="258"/>
      <c r="H82" s="258"/>
      <c r="I82" s="258"/>
      <c r="J82" s="258"/>
      <c r="K82" s="256"/>
      <c r="L82" s="258"/>
      <c r="M82" s="260">
        <v>273</v>
      </c>
      <c r="N82" s="264"/>
      <c r="O82" s="6"/>
    </row>
    <row r="83" spans="1:16" ht="15.6" x14ac:dyDescent="0.3">
      <c r="A83" s="307"/>
      <c r="B83" s="258" t="s">
        <v>206</v>
      </c>
      <c r="C83" s="290"/>
      <c r="D83" s="325"/>
      <c r="E83" s="326"/>
      <c r="F83" s="258"/>
      <c r="G83" s="258"/>
      <c r="H83" s="258"/>
      <c r="I83" s="258"/>
      <c r="J83" s="258"/>
      <c r="K83" s="256"/>
      <c r="L83" s="258"/>
      <c r="M83" s="260">
        <v>11</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4674</v>
      </c>
      <c r="L85" s="258"/>
      <c r="M85" s="256">
        <f>SUM(M79:M84)</f>
        <v>4075</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4674</v>
      </c>
      <c r="L87" s="258"/>
      <c r="M87" s="256">
        <f>M85+M86</f>
        <v>4075</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-55-33-2</f>
        <v>-90</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-236</v>
      </c>
      <c r="N93" s="311"/>
      <c r="O93" s="6"/>
    </row>
    <row r="94" spans="1:16" ht="15.6" x14ac:dyDescent="0.3">
      <c r="A94" s="255">
        <v>5</v>
      </c>
      <c r="B94" s="258" t="s">
        <v>52</v>
      </c>
      <c r="C94" s="258"/>
      <c r="D94" s="258"/>
      <c r="E94" s="258"/>
      <c r="F94" s="258"/>
      <c r="G94" s="258"/>
      <c r="H94" s="258"/>
      <c r="I94" s="258"/>
      <c r="J94" s="258"/>
      <c r="K94" s="258"/>
      <c r="L94" s="258"/>
      <c r="M94" s="260">
        <v>-234</v>
      </c>
      <c r="N94" s="311"/>
      <c r="O94" s="6"/>
    </row>
    <row r="95" spans="1:16" ht="15.6" x14ac:dyDescent="0.3">
      <c r="A95" s="255">
        <v>6</v>
      </c>
      <c r="B95" s="258" t="s">
        <v>172</v>
      </c>
      <c r="C95" s="258"/>
      <c r="D95" s="258"/>
      <c r="E95" s="258"/>
      <c r="F95" s="258"/>
      <c r="G95" s="258"/>
      <c r="H95" s="258"/>
      <c r="I95" s="258"/>
      <c r="J95" s="258"/>
      <c r="K95" s="258"/>
      <c r="L95" s="258"/>
      <c r="M95" s="260">
        <v>-183</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1195</v>
      </c>
      <c r="L97" s="258"/>
      <c r="M97" s="260">
        <v>-1195</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-54</v>
      </c>
      <c r="N101" s="311"/>
      <c r="O101" s="6"/>
    </row>
    <row r="102" spans="1:16" ht="15.6" x14ac:dyDescent="0.3">
      <c r="A102" s="255">
        <v>13</v>
      </c>
      <c r="B102" s="258" t="s">
        <v>195</v>
      </c>
      <c r="C102" s="258"/>
      <c r="D102" s="258"/>
      <c r="E102" s="258"/>
      <c r="F102" s="258"/>
      <c r="G102" s="258"/>
      <c r="H102" s="258"/>
      <c r="I102" s="258"/>
      <c r="J102" s="258"/>
      <c r="K102" s="258"/>
      <c r="L102" s="258"/>
      <c r="M102" s="260">
        <f>-M87-SUM(M89:M101)</f>
        <v>-2074</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-3163</v>
      </c>
      <c r="L107" s="256"/>
      <c r="M107" s="260"/>
      <c r="N107" s="311"/>
      <c r="O107" s="6"/>
    </row>
    <row r="108" spans="1:16" ht="15.6" x14ac:dyDescent="0.3">
      <c r="A108" s="307"/>
      <c r="B108" s="258" t="s">
        <v>59</v>
      </c>
      <c r="C108" s="258"/>
      <c r="D108" s="258"/>
      <c r="E108" s="258"/>
      <c r="F108" s="258"/>
      <c r="G108" s="258"/>
      <c r="H108" s="258"/>
      <c r="I108" s="258"/>
      <c r="J108" s="258"/>
      <c r="K108" s="256">
        <v>-1647</v>
      </c>
      <c r="L108" s="256"/>
      <c r="M108" s="260"/>
      <c r="N108" s="311"/>
      <c r="O108" s="6"/>
    </row>
    <row r="109" spans="1:16" ht="15.6" x14ac:dyDescent="0.3">
      <c r="A109" s="307"/>
      <c r="B109" s="258" t="s">
        <v>186</v>
      </c>
      <c r="C109" s="258"/>
      <c r="D109" s="258"/>
      <c r="E109" s="258"/>
      <c r="F109" s="258"/>
      <c r="G109" s="258"/>
      <c r="H109" s="258"/>
      <c r="I109" s="258"/>
      <c r="J109" s="258"/>
      <c r="K109" s="256">
        <v>-1059</v>
      </c>
      <c r="L109" s="256"/>
      <c r="M109" s="260"/>
      <c r="N109" s="311"/>
      <c r="O109" s="6"/>
    </row>
    <row r="110" spans="1:16" ht="15.6" x14ac:dyDescent="0.3">
      <c r="A110" s="307"/>
      <c r="B110" s="258" t="s">
        <v>60</v>
      </c>
      <c r="C110" s="258"/>
      <c r="D110" s="258"/>
      <c r="E110" s="258"/>
      <c r="F110" s="258"/>
      <c r="G110" s="258"/>
      <c r="H110" s="258"/>
      <c r="I110" s="258"/>
      <c r="J110" s="258"/>
      <c r="K110" s="256">
        <f>+K105+K106+K107+K108+K109</f>
        <v>-5869</v>
      </c>
      <c r="L110" s="256"/>
      <c r="M110" s="256">
        <f>SUM(M88:M109)</f>
        <v>-4075</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JULY 2011</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355</v>
      </c>
      <c r="N137" s="264"/>
      <c r="O137" s="6"/>
    </row>
    <row r="138" spans="1:15" ht="15.6" x14ac:dyDescent="0.3">
      <c r="A138" s="307"/>
      <c r="B138" s="258" t="s">
        <v>180</v>
      </c>
      <c r="C138" s="258"/>
      <c r="D138" s="258"/>
      <c r="E138" s="258"/>
      <c r="F138" s="258"/>
      <c r="G138" s="258"/>
      <c r="H138" s="258"/>
      <c r="I138" s="258"/>
      <c r="J138" s="258"/>
      <c r="K138" s="258"/>
      <c r="L138" s="258"/>
      <c r="M138" s="260">
        <f>775+65</f>
        <v>840</v>
      </c>
      <c r="N138" s="264"/>
      <c r="O138" s="6"/>
    </row>
    <row r="139" spans="1:15" ht="15.6" x14ac:dyDescent="0.3">
      <c r="A139" s="307"/>
      <c r="B139" s="258" t="s">
        <v>77</v>
      </c>
      <c r="C139" s="258"/>
      <c r="D139" s="258"/>
      <c r="E139" s="258"/>
      <c r="F139" s="258"/>
      <c r="G139" s="258"/>
      <c r="H139" s="258"/>
      <c r="I139" s="258"/>
      <c r="J139" s="258"/>
      <c r="K139" s="258"/>
      <c r="L139" s="258"/>
      <c r="M139" s="260">
        <f>M137+M136+M138</f>
        <v>1195</v>
      </c>
      <c r="N139" s="264"/>
      <c r="O139" s="6"/>
    </row>
    <row r="140" spans="1:15" ht="15.6" x14ac:dyDescent="0.3">
      <c r="A140" s="307"/>
      <c r="B140" s="258" t="s">
        <v>183</v>
      </c>
      <c r="C140" s="258"/>
      <c r="D140" s="258"/>
      <c r="E140" s="258"/>
      <c r="F140" s="258"/>
      <c r="G140" s="258"/>
      <c r="H140" s="258"/>
      <c r="I140" s="303"/>
      <c r="J140" s="258"/>
      <c r="K140" s="258"/>
      <c r="L140" s="258"/>
      <c r="M140" s="260">
        <f>M97</f>
        <v>-1195</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137995</v>
      </c>
      <c r="N146" s="318"/>
      <c r="O146" s="6"/>
      <c r="P146" s="117"/>
    </row>
    <row r="147" spans="1:16" ht="15.6" x14ac:dyDescent="0.3">
      <c r="A147" s="307"/>
      <c r="B147" s="258" t="s">
        <v>80</v>
      </c>
      <c r="C147" s="319"/>
      <c r="D147" s="319"/>
      <c r="E147" s="258"/>
      <c r="F147" s="258"/>
      <c r="G147" s="258"/>
      <c r="H147" s="258"/>
      <c r="I147" s="258"/>
      <c r="J147" s="258"/>
      <c r="K147" s="258"/>
      <c r="L147" s="258"/>
      <c r="M147" s="260">
        <f>M75</f>
        <v>137995</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+'April 2011'!I154</f>
        <v>7636</v>
      </c>
      <c r="J152" s="258"/>
      <c r="K152" s="260">
        <v>0</v>
      </c>
      <c r="L152" s="258"/>
      <c r="M152" s="260">
        <f>K152+I152</f>
        <v>7636</v>
      </c>
      <c r="N152" s="311"/>
      <c r="O152" s="6"/>
    </row>
    <row r="153" spans="1:16" ht="15.6" x14ac:dyDescent="0.3">
      <c r="A153" s="307"/>
      <c r="B153" s="258" t="s">
        <v>84</v>
      </c>
      <c r="C153" s="258"/>
      <c r="D153" s="258"/>
      <c r="E153" s="258"/>
      <c r="F153" s="258"/>
      <c r="G153" s="258"/>
      <c r="H153" s="258"/>
      <c r="I153" s="256">
        <v>0</v>
      </c>
      <c r="J153" s="258"/>
      <c r="K153" s="258">
        <v>0</v>
      </c>
      <c r="L153" s="258"/>
      <c r="M153" s="260">
        <f>K153+I153</f>
        <v>0</v>
      </c>
      <c r="N153" s="311"/>
      <c r="O153" s="6"/>
    </row>
    <row r="154" spans="1:16" ht="15.6" x14ac:dyDescent="0.3">
      <c r="A154" s="307"/>
      <c r="B154" s="258" t="s">
        <v>85</v>
      </c>
      <c r="C154" s="258"/>
      <c r="D154" s="258"/>
      <c r="E154" s="258"/>
      <c r="F154" s="258"/>
      <c r="G154" s="258"/>
      <c r="H154" s="258"/>
      <c r="I154" s="260">
        <f>I152+I153</f>
        <v>7636</v>
      </c>
      <c r="J154" s="258"/>
      <c r="K154" s="260">
        <f>K153+K152</f>
        <v>0</v>
      </c>
      <c r="L154" s="258"/>
      <c r="M154" s="260">
        <f>K154+I154</f>
        <v>7636</v>
      </c>
      <c r="N154" s="311"/>
      <c r="O154" s="6"/>
    </row>
    <row r="155" spans="1:16" ht="15.6" x14ac:dyDescent="0.3">
      <c r="A155" s="307"/>
      <c r="B155" s="258" t="s">
        <v>86</v>
      </c>
      <c r="C155" s="258"/>
      <c r="D155" s="258"/>
      <c r="E155" s="258"/>
      <c r="F155" s="258"/>
      <c r="G155" s="258"/>
      <c r="H155" s="258"/>
      <c r="I155" s="260">
        <f>I151-I154-K154</f>
        <v>7364</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16.877118644067796</v>
      </c>
      <c r="N159" s="264" t="s">
        <v>145</v>
      </c>
      <c r="O159" s="6"/>
    </row>
    <row r="160" spans="1:16" ht="15.6" x14ac:dyDescent="0.3">
      <c r="A160" s="307"/>
      <c r="B160" s="258" t="s">
        <v>89</v>
      </c>
      <c r="C160" s="258"/>
      <c r="D160" s="258"/>
      <c r="E160" s="258"/>
      <c r="F160" s="258"/>
      <c r="G160" s="258"/>
      <c r="H160" s="258"/>
      <c r="I160" s="258"/>
      <c r="J160" s="258"/>
      <c r="K160" s="258"/>
      <c r="L160" s="258"/>
      <c r="M160" s="309">
        <v>3.09</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16.012820512820515</v>
      </c>
      <c r="N161" s="264" t="s">
        <v>145</v>
      </c>
      <c r="O161" s="6"/>
    </row>
    <row r="162" spans="1:15" ht="15.6" x14ac:dyDescent="0.3">
      <c r="A162" s="307"/>
      <c r="B162" s="258" t="s">
        <v>91</v>
      </c>
      <c r="C162" s="258"/>
      <c r="D162" s="258"/>
      <c r="E162" s="258"/>
      <c r="F162" s="258"/>
      <c r="G162" s="258"/>
      <c r="H162" s="258"/>
      <c r="I162" s="258"/>
      <c r="J162" s="258"/>
      <c r="K162" s="258"/>
      <c r="L162" s="258"/>
      <c r="M162" s="310">
        <v>8.9700000000000006</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19.196721311475411</v>
      </c>
      <c r="N163" s="264" t="s">
        <v>145</v>
      </c>
      <c r="O163" s="6"/>
    </row>
    <row r="164" spans="1:15" ht="15.6" x14ac:dyDescent="0.3">
      <c r="A164" s="307"/>
      <c r="B164" s="258" t="s">
        <v>182</v>
      </c>
      <c r="C164" s="258"/>
      <c r="D164" s="258"/>
      <c r="E164" s="258"/>
      <c r="F164" s="258"/>
      <c r="G164" s="258"/>
      <c r="H164" s="258"/>
      <c r="I164" s="258"/>
      <c r="J164" s="258"/>
      <c r="K164" s="258"/>
      <c r="L164" s="258"/>
      <c r="M164" s="310">
        <v>11.59</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JULY 2011</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v>40753</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9.5600000000000004E-2</v>
      </c>
      <c r="L174" s="258"/>
      <c r="M174" s="258"/>
      <c r="N174" s="264"/>
      <c r="O174" s="6"/>
    </row>
    <row r="175" spans="1:15" ht="15.6" x14ac:dyDescent="0.3">
      <c r="A175" s="301"/>
      <c r="B175" s="258" t="s">
        <v>97</v>
      </c>
      <c r="C175" s="302"/>
      <c r="D175" s="302"/>
      <c r="E175" s="302"/>
      <c r="F175" s="302"/>
      <c r="G175" s="302"/>
      <c r="H175" s="303"/>
      <c r="I175" s="303"/>
      <c r="J175" s="303"/>
      <c r="K175" s="304">
        <f>M36</f>
        <v>1.819176038712679E-2</v>
      </c>
      <c r="L175" s="258"/>
      <c r="M175" s="258"/>
      <c r="N175" s="264"/>
      <c r="O175" s="6"/>
    </row>
    <row r="176" spans="1:15" ht="15.6" x14ac:dyDescent="0.3">
      <c r="A176" s="301"/>
      <c r="B176" s="258" t="s">
        <v>98</v>
      </c>
      <c r="C176" s="302"/>
      <c r="D176" s="302"/>
      <c r="E176" s="302"/>
      <c r="F176" s="302"/>
      <c r="G176" s="302"/>
      <c r="H176" s="303"/>
      <c r="I176" s="303"/>
      <c r="J176" s="303"/>
      <c r="K176" s="304">
        <f>K174-K175</f>
        <v>7.7408239612873214E-2</v>
      </c>
      <c r="L176" s="258"/>
      <c r="M176" s="258"/>
      <c r="N176" s="264"/>
      <c r="O176" s="6"/>
    </row>
    <row r="177" spans="1:15" ht="15.6" x14ac:dyDescent="0.3">
      <c r="A177" s="301"/>
      <c r="B177" s="258" t="s">
        <v>211</v>
      </c>
      <c r="C177" s="302"/>
      <c r="D177" s="302"/>
      <c r="E177" s="302"/>
      <c r="F177" s="302"/>
      <c r="G177" s="302"/>
      <c r="H177" s="303"/>
      <c r="I177" s="303"/>
      <c r="J177" s="303"/>
      <c r="K177" s="304">
        <f>(+M87+M89)/E58</f>
        <v>2.8325362842684759E-2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13.36</v>
      </c>
      <c r="L182" s="258" t="s">
        <v>139</v>
      </c>
      <c r="M182" s="258"/>
      <c r="N182" s="264"/>
      <c r="O182" s="6"/>
    </row>
    <row r="183" spans="1:15" ht="15.6" x14ac:dyDescent="0.3">
      <c r="A183" s="301"/>
      <c r="B183" s="258" t="s">
        <v>103</v>
      </c>
      <c r="C183" s="302"/>
      <c r="D183" s="302"/>
      <c r="E183" s="302"/>
      <c r="F183" s="302"/>
      <c r="G183" s="302"/>
      <c r="H183" s="303"/>
      <c r="I183" s="303"/>
      <c r="J183" s="303"/>
      <c r="K183" s="304">
        <f>K80/E58</f>
        <v>3.2489017405327253E-2</v>
      </c>
      <c r="L183" s="258"/>
      <c r="M183" s="258"/>
      <c r="N183" s="264"/>
      <c r="O183" s="6"/>
    </row>
    <row r="184" spans="1:15" ht="15.6" x14ac:dyDescent="0.3">
      <c r="A184" s="301"/>
      <c r="B184" s="258" t="s">
        <v>104</v>
      </c>
      <c r="C184" s="302"/>
      <c r="D184" s="302"/>
      <c r="E184" s="302"/>
      <c r="F184" s="302"/>
      <c r="G184" s="302"/>
      <c r="H184" s="303"/>
      <c r="I184" s="303"/>
      <c r="J184" s="303"/>
      <c r="K184" s="304">
        <v>0.27500000000000002</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877</v>
      </c>
      <c r="K187" s="369">
        <v>23270</v>
      </c>
      <c r="L187" s="217"/>
      <c r="M187" s="229"/>
      <c r="N187" s="230"/>
      <c r="O187" s="6"/>
    </row>
    <row r="188" spans="1:15" ht="15.6" x14ac:dyDescent="0.3">
      <c r="A188" s="275"/>
      <c r="B188" s="258" t="s">
        <v>196</v>
      </c>
      <c r="C188" s="256"/>
      <c r="D188" s="256"/>
      <c r="E188" s="256"/>
      <c r="F188" s="256"/>
      <c r="G188" s="258"/>
      <c r="H188" s="258"/>
      <c r="I188" s="258"/>
      <c r="J188" s="276">
        <v>1</v>
      </c>
      <c r="K188" s="277">
        <v>12</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0</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58" t="s">
        <v>110</v>
      </c>
      <c r="C192" s="256"/>
      <c r="D192" s="256"/>
      <c r="E192" s="258"/>
      <c r="F192" s="258"/>
      <c r="G192" s="258"/>
      <c r="H192" s="258"/>
      <c r="I192" s="258"/>
      <c r="J192" s="258"/>
      <c r="K192" s="277">
        <f>+M139</f>
        <v>1195</v>
      </c>
      <c r="L192" s="258"/>
      <c r="M192" s="281"/>
      <c r="N192" s="286"/>
      <c r="O192" s="6"/>
    </row>
    <row r="193" spans="1:15" ht="15.6" x14ac:dyDescent="0.3">
      <c r="A193" s="275"/>
      <c r="B193" s="258" t="s">
        <v>111</v>
      </c>
      <c r="C193" s="256"/>
      <c r="D193" s="256"/>
      <c r="E193" s="256"/>
      <c r="F193" s="256"/>
      <c r="G193" s="256"/>
      <c r="H193" s="258"/>
      <c r="I193" s="258"/>
      <c r="J193" s="258"/>
      <c r="K193" s="277">
        <f>'April 2011'!K193+'July 11'!K192</f>
        <v>26885</v>
      </c>
      <c r="L193" s="258"/>
      <c r="M193" s="281"/>
      <c r="N193" s="286"/>
      <c r="O193" s="6"/>
    </row>
    <row r="194" spans="1:15" ht="15.6" x14ac:dyDescent="0.3">
      <c r="A194" s="275"/>
      <c r="B194" s="258" t="s">
        <v>112</v>
      </c>
      <c r="C194" s="256"/>
      <c r="D194" s="256"/>
      <c r="E194" s="256"/>
      <c r="F194" s="256"/>
      <c r="G194" s="256"/>
      <c r="H194" s="258"/>
      <c r="I194" s="258"/>
      <c r="J194" s="258"/>
      <c r="K194" s="277">
        <f>+'April 2011'!K194+306</f>
        <v>7181</v>
      </c>
      <c r="L194" s="258"/>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5</v>
      </c>
      <c r="L196" s="258"/>
      <c r="M196" s="261"/>
      <c r="N196" s="286"/>
      <c r="O196" s="6"/>
    </row>
    <row r="197" spans="1:15" ht="15.6" x14ac:dyDescent="0.3">
      <c r="A197" s="275"/>
      <c r="B197" s="258" t="s">
        <v>113</v>
      </c>
      <c r="C197" s="256"/>
      <c r="D197" s="256"/>
      <c r="E197" s="290"/>
      <c r="F197" s="290"/>
      <c r="G197" s="291"/>
      <c r="H197" s="258"/>
      <c r="I197" s="258"/>
      <c r="J197" s="258"/>
      <c r="K197" s="292">
        <v>31.63</v>
      </c>
      <c r="L197" s="258"/>
      <c r="M197" s="261"/>
      <c r="N197" s="286"/>
      <c r="O197" s="6"/>
    </row>
    <row r="198" spans="1:15" ht="15.6" x14ac:dyDescent="0.3">
      <c r="A198" s="275"/>
      <c r="B198" s="258" t="s">
        <v>114</v>
      </c>
      <c r="C198" s="256"/>
      <c r="D198" s="256"/>
      <c r="E198" s="290"/>
      <c r="F198" s="290"/>
      <c r="G198" s="291"/>
      <c r="H198" s="258"/>
      <c r="I198" s="258"/>
      <c r="J198" s="258"/>
      <c r="K198" s="292">
        <v>9.5399999999999991</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5025</v>
      </c>
      <c r="J203" s="232">
        <f>I203/I212</f>
        <v>0.85140630294815312</v>
      </c>
      <c r="K203" s="221">
        <v>114725</v>
      </c>
      <c r="L203" s="232">
        <f>K203/K212</f>
        <v>0.83137070183702311</v>
      </c>
      <c r="M203" s="228"/>
      <c r="N203" s="218"/>
      <c r="O203" s="6"/>
    </row>
    <row r="204" spans="1:15" ht="15.6" x14ac:dyDescent="0.3">
      <c r="A204" s="255"/>
      <c r="B204" s="256" t="s">
        <v>117</v>
      </c>
      <c r="C204" s="257"/>
      <c r="D204" s="257"/>
      <c r="E204" s="256"/>
      <c r="F204" s="257"/>
      <c r="G204" s="258"/>
      <c r="H204" s="259"/>
      <c r="I204" s="256">
        <v>208</v>
      </c>
      <c r="J204" s="259">
        <f>I204/I212</f>
        <v>3.5242290748898682E-2</v>
      </c>
      <c r="K204" s="260">
        <v>5665</v>
      </c>
      <c r="L204" s="259">
        <f>K204/K212</f>
        <v>4.1052212036667993E-2</v>
      </c>
      <c r="M204" s="261"/>
      <c r="N204" s="263"/>
      <c r="O204" s="6"/>
    </row>
    <row r="205" spans="1:15" ht="15.6" x14ac:dyDescent="0.3">
      <c r="A205" s="255"/>
      <c r="B205" s="256" t="s">
        <v>118</v>
      </c>
      <c r="C205" s="257"/>
      <c r="D205" s="257"/>
      <c r="E205" s="256"/>
      <c r="F205" s="257"/>
      <c r="G205" s="258"/>
      <c r="H205" s="259"/>
      <c r="I205" s="256">
        <v>172</v>
      </c>
      <c r="J205" s="259">
        <f>I205/I212</f>
        <v>2.9142663503896982E-2</v>
      </c>
      <c r="K205" s="260">
        <v>4235</v>
      </c>
      <c r="L205" s="259">
        <f>K205/K212</f>
        <v>3.0689517736149859E-2</v>
      </c>
      <c r="M205" s="261"/>
      <c r="N205" s="263"/>
      <c r="O205" s="6"/>
    </row>
    <row r="206" spans="1:15" ht="15.6" x14ac:dyDescent="0.3">
      <c r="A206" s="255"/>
      <c r="B206" s="256" t="s">
        <v>167</v>
      </c>
      <c r="C206" s="257"/>
      <c r="D206" s="257"/>
      <c r="E206" s="256"/>
      <c r="F206" s="257"/>
      <c r="G206" s="258"/>
      <c r="H206" s="259"/>
      <c r="I206" s="256">
        <v>104</v>
      </c>
      <c r="J206" s="259">
        <f>I206/I212</f>
        <v>1.7621145374449341E-2</v>
      </c>
      <c r="K206" s="260">
        <v>2681</v>
      </c>
      <c r="L206" s="259">
        <f>K206/K212</f>
        <v>1.9428240153628755E-2</v>
      </c>
      <c r="M206" s="261"/>
      <c r="N206" s="262"/>
      <c r="O206" s="6"/>
    </row>
    <row r="207" spans="1:15" ht="15.6" x14ac:dyDescent="0.3">
      <c r="A207" s="255"/>
      <c r="B207" s="256" t="s">
        <v>168</v>
      </c>
      <c r="C207" s="257"/>
      <c r="D207" s="257"/>
      <c r="E207" s="256"/>
      <c r="F207" s="257"/>
      <c r="G207" s="258"/>
      <c r="H207" s="259"/>
      <c r="I207" s="256">
        <v>92</v>
      </c>
      <c r="J207" s="259">
        <f>I207/I212</f>
        <v>1.5587936292782108E-2</v>
      </c>
      <c r="K207" s="260">
        <v>2637</v>
      </c>
      <c r="L207" s="259">
        <f>K207/K212</f>
        <v>1.9109388021305119E-2</v>
      </c>
      <c r="M207" s="374"/>
      <c r="N207" s="262"/>
      <c r="O207" s="6"/>
    </row>
    <row r="208" spans="1:15" ht="15.6" x14ac:dyDescent="0.3">
      <c r="A208" s="255"/>
      <c r="B208" s="256" t="s">
        <v>169</v>
      </c>
      <c r="C208" s="257"/>
      <c r="D208" s="257"/>
      <c r="E208" s="256"/>
      <c r="F208" s="257"/>
      <c r="G208" s="258"/>
      <c r="H208" s="259"/>
      <c r="I208" s="256">
        <v>81</v>
      </c>
      <c r="J208" s="259">
        <f>I208/I212</f>
        <v>1.3724161301253812E-2</v>
      </c>
      <c r="K208" s="260">
        <v>2324</v>
      </c>
      <c r="L208" s="259">
        <f>K208/K212</f>
        <v>1.6841189898184717E-2</v>
      </c>
      <c r="M208" s="261"/>
      <c r="N208" s="262"/>
      <c r="O208" s="6"/>
    </row>
    <row r="209" spans="1:15" ht="15.6" x14ac:dyDescent="0.3">
      <c r="A209" s="255"/>
      <c r="B209" s="256" t="s">
        <v>176</v>
      </c>
      <c r="C209" s="257"/>
      <c r="D209" s="257"/>
      <c r="E209" s="256"/>
      <c r="F209" s="257"/>
      <c r="G209" s="258"/>
      <c r="H209" s="259"/>
      <c r="I209" s="256">
        <v>129</v>
      </c>
      <c r="J209" s="259">
        <f>I209/I212</f>
        <v>2.1856997627922738E-2</v>
      </c>
      <c r="K209" s="260">
        <v>3400</v>
      </c>
      <c r="L209" s="259">
        <f>K209/K212</f>
        <v>2.463857386137179E-2</v>
      </c>
      <c r="M209" s="261"/>
      <c r="N209" s="263"/>
      <c r="O209" s="6"/>
    </row>
    <row r="210" spans="1:15" ht="15.6" x14ac:dyDescent="0.3">
      <c r="A210" s="255"/>
      <c r="B210" s="256" t="s">
        <v>202</v>
      </c>
      <c r="C210" s="257"/>
      <c r="D210" s="257"/>
      <c r="E210" s="256"/>
      <c r="F210" s="257"/>
      <c r="G210" s="258"/>
      <c r="H210" s="259"/>
      <c r="I210" s="256">
        <v>91</v>
      </c>
      <c r="J210" s="259">
        <f>+I210/I212</f>
        <v>1.5418502202643172E-2</v>
      </c>
      <c r="K210" s="260">
        <v>2328</v>
      </c>
      <c r="L210" s="259">
        <f>+K210/K212</f>
        <v>1.6870176455668684E-2</v>
      </c>
      <c r="M210" s="261"/>
      <c r="N210" s="263"/>
      <c r="O210" s="6"/>
    </row>
    <row r="211" spans="1:15" ht="15.6" x14ac:dyDescent="0.3">
      <c r="A211" s="255"/>
      <c r="B211" s="256" t="s">
        <v>170</v>
      </c>
      <c r="C211" s="257"/>
      <c r="D211" s="257"/>
      <c r="E211" s="256"/>
      <c r="F211" s="257"/>
      <c r="G211" s="256"/>
      <c r="H211" s="259"/>
      <c r="I211" s="256">
        <v>0</v>
      </c>
      <c r="J211" s="259">
        <f>I211/I212</f>
        <v>0</v>
      </c>
      <c r="K211" s="260">
        <v>0</v>
      </c>
      <c r="L211" s="259">
        <f>+K211/K212</f>
        <v>0</v>
      </c>
      <c r="M211" s="261"/>
      <c r="N211" s="263"/>
      <c r="O211" s="6"/>
    </row>
    <row r="212" spans="1:15" ht="15.6" x14ac:dyDescent="0.3">
      <c r="A212" s="255"/>
      <c r="B212" s="258" t="s">
        <v>189</v>
      </c>
      <c r="C212" s="258"/>
      <c r="D212" s="258"/>
      <c r="E212" s="258"/>
      <c r="F212" s="258"/>
      <c r="G212" s="256"/>
      <c r="H212" s="258"/>
      <c r="I212" s="256">
        <f>SUM(I203:I211)</f>
        <v>5902</v>
      </c>
      <c r="J212" s="259">
        <f>SUM(J203:J211)</f>
        <v>0.99999999999999989</v>
      </c>
      <c r="K212" s="260">
        <f>SUM(K203:K211)</f>
        <v>137995</v>
      </c>
      <c r="L212" s="259">
        <f>SUM(L203:L211)</f>
        <v>1</v>
      </c>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1.1548</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JULY 2011</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phoneticPr fontId="0" type="noConversion"/>
  <hyperlinks>
    <hyperlink ref="I10" r:id="rId1" xr:uid="{00000000-0004-0000-1900-000000000000}"/>
    <hyperlink ref="K200" r:id="rId2" xr:uid="{00000000-0004-0000-19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89CB31"/>
  </sheetPr>
  <dimension ref="A1:P225"/>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5.6" x14ac:dyDescent="0.3">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40865</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121</v>
      </c>
      <c r="D27" s="341"/>
      <c r="E27" s="341" t="s">
        <v>125</v>
      </c>
      <c r="F27" s="341"/>
      <c r="G27" s="341" t="s">
        <v>239</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74379.0432</v>
      </c>
      <c r="D31" s="345"/>
      <c r="E31" s="344">
        <f>E30*E34</f>
        <v>38722.496400000004</v>
      </c>
      <c r="F31" s="344"/>
      <c r="G31" s="344">
        <f>G30*G34</f>
        <v>24893.0334</v>
      </c>
      <c r="H31" s="346"/>
      <c r="I31" s="346"/>
      <c r="J31" s="346"/>
      <c r="K31" s="346"/>
      <c r="L31" s="347"/>
      <c r="M31" s="344">
        <f>C31+E31+G31</f>
        <v>137994.573</v>
      </c>
      <c r="N31" s="348"/>
      <c r="O31" s="6"/>
    </row>
    <row r="32" spans="1:15" ht="15.6" x14ac:dyDescent="0.3">
      <c r="A32" s="340"/>
      <c r="B32" s="319" t="s">
        <v>16</v>
      </c>
      <c r="C32" s="349">
        <f>C30*C33</f>
        <v>70945.967399999994</v>
      </c>
      <c r="D32" s="350"/>
      <c r="E32" s="349">
        <f>E30*E33</f>
        <v>36935.186399999999</v>
      </c>
      <c r="F32" s="349"/>
      <c r="G32" s="349">
        <f>G30*G33</f>
        <v>23744.0484</v>
      </c>
      <c r="H32" s="351"/>
      <c r="I32" s="351"/>
      <c r="J32" s="351"/>
      <c r="K32" s="351"/>
      <c r="L32" s="352"/>
      <c r="M32" s="344">
        <f>C32+E32+G32</f>
        <v>131625.2022</v>
      </c>
      <c r="N32" s="348"/>
      <c r="O32" s="6"/>
    </row>
    <row r="33" spans="1:15" ht="15.6" x14ac:dyDescent="0.3">
      <c r="A33" s="340"/>
      <c r="B33" s="278" t="s">
        <v>174</v>
      </c>
      <c r="C33" s="371">
        <v>0.30712539999999999</v>
      </c>
      <c r="D33" s="372"/>
      <c r="E33" s="371">
        <v>0.8794092</v>
      </c>
      <c r="F33" s="371"/>
      <c r="G33" s="371">
        <v>0.8794092</v>
      </c>
      <c r="H33" s="373"/>
      <c r="I33" s="373"/>
      <c r="J33" s="351"/>
      <c r="K33" s="351"/>
      <c r="L33" s="352"/>
      <c r="M33" s="351"/>
      <c r="N33" s="348"/>
      <c r="O33" s="6"/>
    </row>
    <row r="34" spans="1:15" ht="15.6" x14ac:dyDescent="0.3">
      <c r="A34" s="340"/>
      <c r="B34" s="278" t="s">
        <v>175</v>
      </c>
      <c r="C34" s="371">
        <v>0.32198719999999997</v>
      </c>
      <c r="D34" s="372"/>
      <c r="E34" s="371">
        <v>0.92196420000000001</v>
      </c>
      <c r="F34" s="371"/>
      <c r="G34" s="371">
        <v>0.92196420000000001</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1.2521900000000001E-2</v>
      </c>
      <c r="D36" s="258"/>
      <c r="E36" s="356">
        <v>2.3521899999999998E-2</v>
      </c>
      <c r="F36" s="304"/>
      <c r="G36" s="356">
        <v>2.8521899999999999E-2</v>
      </c>
      <c r="H36" s="304"/>
      <c r="I36" s="356"/>
      <c r="J36" s="304"/>
      <c r="K36" s="356"/>
      <c r="L36" s="321"/>
      <c r="M36" s="304">
        <f>SUMPRODUCT(C36:G36,C31:G31)/M31</f>
        <v>1.8494859493124415E-2</v>
      </c>
      <c r="N36" s="264"/>
      <c r="O36" s="6"/>
    </row>
    <row r="37" spans="1:15" ht="15.6" x14ac:dyDescent="0.3">
      <c r="A37" s="307"/>
      <c r="B37" s="258" t="s">
        <v>19</v>
      </c>
      <c r="C37" s="356">
        <v>1.22188E-2</v>
      </c>
      <c r="D37" s="258"/>
      <c r="E37" s="356">
        <v>2.3218800000000001E-2</v>
      </c>
      <c r="F37" s="304"/>
      <c r="G37" s="356">
        <v>2.8218799999999999E-2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0.85528800330376498</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40862</v>
      </c>
      <c r="N47" s="264"/>
      <c r="O47" s="6"/>
    </row>
    <row r="48" spans="1:15" ht="15.6" x14ac:dyDescent="0.3">
      <c r="A48" s="307"/>
      <c r="B48" s="258" t="s">
        <v>26</v>
      </c>
      <c r="C48" s="258"/>
      <c r="D48" s="258"/>
      <c r="E48" s="258"/>
      <c r="F48" s="258"/>
      <c r="G48" s="258"/>
      <c r="H48" s="258"/>
      <c r="I48" s="258"/>
      <c r="J48" s="258">
        <f>M48-K48+1</f>
        <v>91</v>
      </c>
      <c r="K48" s="360">
        <v>40679</v>
      </c>
      <c r="L48" s="361"/>
      <c r="M48" s="360">
        <v>40769</v>
      </c>
      <c r="N48" s="264"/>
      <c r="O48" s="6"/>
    </row>
    <row r="49" spans="1:15" ht="15.6" x14ac:dyDescent="0.3">
      <c r="A49" s="307"/>
      <c r="B49" s="258" t="s">
        <v>27</v>
      </c>
      <c r="C49" s="258"/>
      <c r="D49" s="258"/>
      <c r="E49" s="258"/>
      <c r="F49" s="258"/>
      <c r="G49" s="258"/>
      <c r="H49" s="258"/>
      <c r="I49" s="258"/>
      <c r="J49" s="258">
        <f>M49-K49+1</f>
        <v>92</v>
      </c>
      <c r="K49" s="360">
        <v>40770</v>
      </c>
      <c r="L49" s="361"/>
      <c r="M49" s="360">
        <v>40861</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40848</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250</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137995</v>
      </c>
      <c r="F58" s="256"/>
      <c r="G58" s="256">
        <f>5362+1008</f>
        <v>6370</v>
      </c>
      <c r="H58" s="256"/>
      <c r="I58" s="256">
        <v>0</v>
      </c>
      <c r="J58" s="256"/>
      <c r="K58" s="256">
        <v>0</v>
      </c>
      <c r="L58" s="256"/>
      <c r="M58" s="260">
        <f>E58-G58+I58-K58</f>
        <v>131625</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137995</v>
      </c>
      <c r="F62" s="256"/>
      <c r="G62" s="256">
        <f>SUM(G58:G61)</f>
        <v>6370</v>
      </c>
      <c r="H62" s="256"/>
      <c r="I62" s="256">
        <f>SUM(I58:I61)</f>
        <v>0</v>
      </c>
      <c r="J62" s="256"/>
      <c r="K62" s="256">
        <f>SUM(K58:K61)</f>
        <v>0</v>
      </c>
      <c r="L62" s="256"/>
      <c r="M62" s="256">
        <f>SUM(M58:M61)</f>
        <v>131625</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137995</v>
      </c>
      <c r="F75" s="256"/>
      <c r="G75" s="256"/>
      <c r="H75" s="256"/>
      <c r="I75" s="256"/>
      <c r="J75" s="256"/>
      <c r="K75" s="256"/>
      <c r="L75" s="256"/>
      <c r="M75" s="256">
        <f>SUM(M62:M74)</f>
        <v>131625</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40847</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6370-1008</f>
        <v>5362</v>
      </c>
      <c r="L80" s="258"/>
      <c r="M80" s="260"/>
      <c r="N80" s="264"/>
      <c r="O80" s="6"/>
    </row>
    <row r="81" spans="1:16" ht="15.6" x14ac:dyDescent="0.3">
      <c r="A81" s="307"/>
      <c r="B81" s="258" t="s">
        <v>204</v>
      </c>
      <c r="C81" s="290"/>
      <c r="D81" s="325"/>
      <c r="E81" s="326"/>
      <c r="F81" s="258"/>
      <c r="G81" s="258"/>
      <c r="H81" s="258"/>
      <c r="I81" s="258"/>
      <c r="J81" s="258"/>
      <c r="K81" s="256"/>
      <c r="L81" s="258"/>
      <c r="M81" s="260">
        <f>5434+43-2233</f>
        <v>3244</v>
      </c>
      <c r="N81" s="264"/>
      <c r="O81" s="6"/>
    </row>
    <row r="82" spans="1:16" ht="15.6" x14ac:dyDescent="0.3">
      <c r="A82" s="307"/>
      <c r="B82" s="258" t="s">
        <v>205</v>
      </c>
      <c r="C82" s="290"/>
      <c r="D82" s="325"/>
      <c r="E82" s="326"/>
      <c r="F82" s="258"/>
      <c r="G82" s="258"/>
      <c r="H82" s="258"/>
      <c r="I82" s="258"/>
      <c r="J82" s="258"/>
      <c r="K82" s="256"/>
      <c r="L82" s="258"/>
      <c r="M82" s="260">
        <f>171+1</f>
        <v>172</v>
      </c>
      <c r="N82" s="264"/>
      <c r="O82" s="6"/>
    </row>
    <row r="83" spans="1:16" ht="15.6" x14ac:dyDescent="0.3">
      <c r="A83" s="307"/>
      <c r="B83" s="258" t="s">
        <v>206</v>
      </c>
      <c r="C83" s="290"/>
      <c r="D83" s="325"/>
      <c r="E83" s="326"/>
      <c r="F83" s="258"/>
      <c r="G83" s="258"/>
      <c r="H83" s="258"/>
      <c r="I83" s="258"/>
      <c r="J83" s="258"/>
      <c r="K83" s="256"/>
      <c r="L83" s="258"/>
      <c r="M83" s="260">
        <v>24</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5362</v>
      </c>
      <c r="L85" s="258"/>
      <c r="M85" s="256">
        <f>SUM(M79:M84)</f>
        <v>3440</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5362</v>
      </c>
      <c r="L87" s="258"/>
      <c r="M87" s="256">
        <f>M85+M86</f>
        <v>3440</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-52-73-2</f>
        <v>-127</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-235</v>
      </c>
      <c r="N93" s="311"/>
      <c r="O93" s="6"/>
    </row>
    <row r="94" spans="1:16" ht="15.6" x14ac:dyDescent="0.3">
      <c r="A94" s="255">
        <v>5</v>
      </c>
      <c r="B94" s="258" t="s">
        <v>52</v>
      </c>
      <c r="C94" s="258"/>
      <c r="D94" s="258"/>
      <c r="E94" s="258"/>
      <c r="F94" s="258"/>
      <c r="G94" s="258"/>
      <c r="H94" s="258"/>
      <c r="I94" s="258"/>
      <c r="J94" s="258"/>
      <c r="K94" s="258"/>
      <c r="L94" s="258"/>
      <c r="M94" s="260">
        <v>-230</v>
      </c>
      <c r="N94" s="311"/>
      <c r="O94" s="6"/>
    </row>
    <row r="95" spans="1:16" ht="15.6" x14ac:dyDescent="0.3">
      <c r="A95" s="255">
        <v>6</v>
      </c>
      <c r="B95" s="258" t="s">
        <v>172</v>
      </c>
      <c r="C95" s="258"/>
      <c r="D95" s="258"/>
      <c r="E95" s="258"/>
      <c r="F95" s="258"/>
      <c r="G95" s="258"/>
      <c r="H95" s="258"/>
      <c r="I95" s="258"/>
      <c r="J95" s="258"/>
      <c r="K95" s="258"/>
      <c r="L95" s="258"/>
      <c r="M95" s="260">
        <v>-179</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1008</v>
      </c>
      <c r="L97" s="258"/>
      <c r="M97" s="260">
        <v>-1008</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-52</v>
      </c>
      <c r="N101" s="311"/>
      <c r="O101" s="6"/>
    </row>
    <row r="102" spans="1:16" ht="15.6" x14ac:dyDescent="0.3">
      <c r="A102" s="255">
        <v>13</v>
      </c>
      <c r="B102" s="258" t="s">
        <v>195</v>
      </c>
      <c r="C102" s="258"/>
      <c r="D102" s="258"/>
      <c r="E102" s="258"/>
      <c r="F102" s="258"/>
      <c r="G102" s="258"/>
      <c r="H102" s="258"/>
      <c r="I102" s="258"/>
      <c r="J102" s="258"/>
      <c r="K102" s="258"/>
      <c r="L102" s="258"/>
      <c r="M102" s="260">
        <f>-M87-SUM(M89:M101)</f>
        <v>-1600</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-3433</v>
      </c>
      <c r="L107" s="256"/>
      <c r="M107" s="260"/>
      <c r="N107" s="311"/>
      <c r="O107" s="6"/>
    </row>
    <row r="108" spans="1:16" ht="15.6" x14ac:dyDescent="0.3">
      <c r="A108" s="307"/>
      <c r="B108" s="258" t="s">
        <v>59</v>
      </c>
      <c r="C108" s="258"/>
      <c r="D108" s="258"/>
      <c r="E108" s="258"/>
      <c r="F108" s="258"/>
      <c r="G108" s="258"/>
      <c r="H108" s="258"/>
      <c r="I108" s="258"/>
      <c r="J108" s="258"/>
      <c r="K108" s="256">
        <v>-1788</v>
      </c>
      <c r="L108" s="256"/>
      <c r="M108" s="260"/>
      <c r="N108" s="311"/>
      <c r="O108" s="6"/>
    </row>
    <row r="109" spans="1:16" ht="15.6" x14ac:dyDescent="0.3">
      <c r="A109" s="307"/>
      <c r="B109" s="258" t="s">
        <v>186</v>
      </c>
      <c r="C109" s="258"/>
      <c r="D109" s="258"/>
      <c r="E109" s="258"/>
      <c r="F109" s="258"/>
      <c r="G109" s="258"/>
      <c r="H109" s="258"/>
      <c r="I109" s="258"/>
      <c r="J109" s="258"/>
      <c r="K109" s="256">
        <v>-1149</v>
      </c>
      <c r="L109" s="256"/>
      <c r="M109" s="260"/>
      <c r="N109" s="311"/>
      <c r="O109" s="6"/>
    </row>
    <row r="110" spans="1:16" ht="15.6" x14ac:dyDescent="0.3">
      <c r="A110" s="307"/>
      <c r="B110" s="258" t="s">
        <v>60</v>
      </c>
      <c r="C110" s="258"/>
      <c r="D110" s="258"/>
      <c r="E110" s="258"/>
      <c r="F110" s="258"/>
      <c r="G110" s="258"/>
      <c r="H110" s="258"/>
      <c r="I110" s="258"/>
      <c r="J110" s="258"/>
      <c r="K110" s="256">
        <f>+K105+K106+K107+K108+K109</f>
        <v>-6370</v>
      </c>
      <c r="L110" s="256"/>
      <c r="M110" s="256">
        <f>SUM(M88:M109)</f>
        <v>-3440</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OCTOBER 2011</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425</v>
      </c>
      <c r="N137" s="264"/>
      <c r="O137" s="6"/>
    </row>
    <row r="138" spans="1:15" ht="15.6" x14ac:dyDescent="0.3">
      <c r="A138" s="307"/>
      <c r="B138" s="258" t="s">
        <v>180</v>
      </c>
      <c r="C138" s="258"/>
      <c r="D138" s="258"/>
      <c r="E138" s="258"/>
      <c r="F138" s="258"/>
      <c r="G138" s="258"/>
      <c r="H138" s="258"/>
      <c r="I138" s="258"/>
      <c r="J138" s="258"/>
      <c r="K138" s="258"/>
      <c r="L138" s="258"/>
      <c r="M138" s="260">
        <f>838-255</f>
        <v>583</v>
      </c>
      <c r="N138" s="264"/>
      <c r="O138" s="6"/>
    </row>
    <row r="139" spans="1:15" ht="15.6" x14ac:dyDescent="0.3">
      <c r="A139" s="307"/>
      <c r="B139" s="258" t="s">
        <v>77</v>
      </c>
      <c r="C139" s="258"/>
      <c r="D139" s="258"/>
      <c r="E139" s="258"/>
      <c r="F139" s="258"/>
      <c r="G139" s="258"/>
      <c r="H139" s="258"/>
      <c r="I139" s="258"/>
      <c r="J139" s="258"/>
      <c r="K139" s="258"/>
      <c r="L139" s="258"/>
      <c r="M139" s="260">
        <f>M137+M136+M138</f>
        <v>1008</v>
      </c>
      <c r="N139" s="264"/>
      <c r="O139" s="6"/>
    </row>
    <row r="140" spans="1:15" ht="15.6" x14ac:dyDescent="0.3">
      <c r="A140" s="307"/>
      <c r="B140" s="258" t="s">
        <v>183</v>
      </c>
      <c r="C140" s="258"/>
      <c r="D140" s="258"/>
      <c r="E140" s="258"/>
      <c r="F140" s="258"/>
      <c r="G140" s="258"/>
      <c r="H140" s="258"/>
      <c r="I140" s="303"/>
      <c r="J140" s="258"/>
      <c r="K140" s="258"/>
      <c r="L140" s="258"/>
      <c r="M140" s="260">
        <f>M97</f>
        <v>-1008</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131625</v>
      </c>
      <c r="N146" s="318"/>
      <c r="O146" s="6"/>
      <c r="P146" s="117"/>
    </row>
    <row r="147" spans="1:16" ht="15.6" x14ac:dyDescent="0.3">
      <c r="A147" s="307"/>
      <c r="B147" s="258" t="s">
        <v>80</v>
      </c>
      <c r="C147" s="319"/>
      <c r="D147" s="319"/>
      <c r="E147" s="258"/>
      <c r="F147" s="258"/>
      <c r="G147" s="258"/>
      <c r="H147" s="258"/>
      <c r="I147" s="258"/>
      <c r="J147" s="258"/>
      <c r="K147" s="258"/>
      <c r="L147" s="258"/>
      <c r="M147" s="260">
        <f>M75</f>
        <v>131625</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+'July 11'!I154</f>
        <v>7636</v>
      </c>
      <c r="J152" s="258"/>
      <c r="K152" s="260">
        <v>0</v>
      </c>
      <c r="L152" s="258"/>
      <c r="M152" s="260">
        <f>K152+I152</f>
        <v>7636</v>
      </c>
      <c r="N152" s="311"/>
      <c r="O152" s="6"/>
    </row>
    <row r="153" spans="1:16" ht="15.6" x14ac:dyDescent="0.3">
      <c r="A153" s="307"/>
      <c r="B153" s="258" t="s">
        <v>84</v>
      </c>
      <c r="C153" s="258"/>
      <c r="D153" s="258"/>
      <c r="E153" s="258"/>
      <c r="F153" s="258"/>
      <c r="G153" s="258"/>
      <c r="H153" s="258"/>
      <c r="I153" s="256">
        <v>0</v>
      </c>
      <c r="J153" s="258"/>
      <c r="K153" s="258">
        <v>0</v>
      </c>
      <c r="L153" s="258"/>
      <c r="M153" s="260">
        <f>K153+I153</f>
        <v>0</v>
      </c>
      <c r="N153" s="311"/>
      <c r="O153" s="6"/>
    </row>
    <row r="154" spans="1:16" ht="15.6" x14ac:dyDescent="0.3">
      <c r="A154" s="307"/>
      <c r="B154" s="258" t="s">
        <v>85</v>
      </c>
      <c r="C154" s="258"/>
      <c r="D154" s="258"/>
      <c r="E154" s="258"/>
      <c r="F154" s="258"/>
      <c r="G154" s="258"/>
      <c r="H154" s="258"/>
      <c r="I154" s="260">
        <f>I152+I153</f>
        <v>7636</v>
      </c>
      <c r="J154" s="258"/>
      <c r="K154" s="260">
        <f>K153+K152</f>
        <v>0</v>
      </c>
      <c r="L154" s="258"/>
      <c r="M154" s="260">
        <f>K154+I154</f>
        <v>7636</v>
      </c>
      <c r="N154" s="311"/>
      <c r="O154" s="6"/>
    </row>
    <row r="155" spans="1:16" ht="15.6" x14ac:dyDescent="0.3">
      <c r="A155" s="307"/>
      <c r="B155" s="258" t="s">
        <v>86</v>
      </c>
      <c r="C155" s="258"/>
      <c r="D155" s="258"/>
      <c r="E155" s="258"/>
      <c r="F155" s="258"/>
      <c r="G155" s="258"/>
      <c r="H155" s="258"/>
      <c r="I155" s="260">
        <f>I151-I154-K154</f>
        <v>7364</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14.089361702127659</v>
      </c>
      <c r="N159" s="264" t="s">
        <v>145</v>
      </c>
      <c r="O159" s="6"/>
    </row>
    <row r="160" spans="1:16" ht="15.6" x14ac:dyDescent="0.3">
      <c r="A160" s="307"/>
      <c r="B160" s="258" t="s">
        <v>89</v>
      </c>
      <c r="C160" s="258"/>
      <c r="D160" s="258"/>
      <c r="E160" s="258"/>
      <c r="F160" s="258"/>
      <c r="G160" s="258"/>
      <c r="H160" s="258"/>
      <c r="I160" s="258"/>
      <c r="J160" s="258"/>
      <c r="K160" s="258"/>
      <c r="L160" s="258"/>
      <c r="M160" s="309">
        <v>3.14</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13.373913043478261</v>
      </c>
      <c r="N161" s="264" t="s">
        <v>145</v>
      </c>
      <c r="O161" s="6"/>
    </row>
    <row r="162" spans="1:15" ht="15.6" x14ac:dyDescent="0.3">
      <c r="A162" s="307"/>
      <c r="B162" s="258" t="s">
        <v>91</v>
      </c>
      <c r="C162" s="258"/>
      <c r="D162" s="258"/>
      <c r="E162" s="258"/>
      <c r="F162" s="258"/>
      <c r="G162" s="258"/>
      <c r="H162" s="258"/>
      <c r="I162" s="258"/>
      <c r="J162" s="258"/>
      <c r="K162" s="258"/>
      <c r="L162" s="258"/>
      <c r="M162" s="310">
        <v>9.0500000000000007</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15.899441340782124</v>
      </c>
      <c r="N163" s="264" t="s">
        <v>145</v>
      </c>
      <c r="O163" s="6"/>
    </row>
    <row r="164" spans="1:15" ht="15.6" x14ac:dyDescent="0.3">
      <c r="A164" s="307"/>
      <c r="B164" s="258" t="s">
        <v>182</v>
      </c>
      <c r="C164" s="258"/>
      <c r="D164" s="258"/>
      <c r="E164" s="258"/>
      <c r="F164" s="258"/>
      <c r="G164" s="258"/>
      <c r="H164" s="258"/>
      <c r="I164" s="258"/>
      <c r="J164" s="258"/>
      <c r="K164" s="258"/>
      <c r="L164" s="258"/>
      <c r="M164" s="310">
        <v>11.68</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OCTOBER 2011</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v>40847</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9.5699999999999993E-2</v>
      </c>
      <c r="L174" s="258"/>
      <c r="M174" s="258"/>
      <c r="N174" s="264"/>
      <c r="O174" s="6"/>
    </row>
    <row r="175" spans="1:15" ht="15.6" x14ac:dyDescent="0.3">
      <c r="A175" s="301"/>
      <c r="B175" s="258" t="s">
        <v>97</v>
      </c>
      <c r="C175" s="302"/>
      <c r="D175" s="302"/>
      <c r="E175" s="302"/>
      <c r="F175" s="302"/>
      <c r="G175" s="302"/>
      <c r="H175" s="303"/>
      <c r="I175" s="303"/>
      <c r="J175" s="303"/>
      <c r="K175" s="304">
        <f>M36</f>
        <v>1.8494859493124415E-2</v>
      </c>
      <c r="L175" s="258"/>
      <c r="M175" s="258"/>
      <c r="N175" s="264"/>
      <c r="O175" s="6"/>
    </row>
    <row r="176" spans="1:15" ht="15.6" x14ac:dyDescent="0.3">
      <c r="A176" s="301"/>
      <c r="B176" s="258" t="s">
        <v>98</v>
      </c>
      <c r="C176" s="302"/>
      <c r="D176" s="302"/>
      <c r="E176" s="302"/>
      <c r="F176" s="302"/>
      <c r="G176" s="302"/>
      <c r="H176" s="303"/>
      <c r="I176" s="303"/>
      <c r="J176" s="303"/>
      <c r="K176" s="304">
        <f>K174-K175</f>
        <v>7.7205140506875575E-2</v>
      </c>
      <c r="L176" s="258"/>
      <c r="M176" s="258"/>
      <c r="N176" s="264"/>
      <c r="O176" s="6"/>
    </row>
    <row r="177" spans="1:15" ht="15.6" x14ac:dyDescent="0.3">
      <c r="A177" s="301"/>
      <c r="B177" s="258" t="s">
        <v>211</v>
      </c>
      <c r="C177" s="302"/>
      <c r="D177" s="302"/>
      <c r="E177" s="302"/>
      <c r="F177" s="302"/>
      <c r="G177" s="302"/>
      <c r="H177" s="303"/>
      <c r="I177" s="303"/>
      <c r="J177" s="303"/>
      <c r="K177" s="304">
        <f>(+M87+M89)/E58</f>
        <v>2.4928439436211456E-2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13.19</v>
      </c>
      <c r="L182" s="258" t="s">
        <v>139</v>
      </c>
      <c r="M182" s="258"/>
      <c r="N182" s="264"/>
      <c r="O182" s="6"/>
    </row>
    <row r="183" spans="1:15" ht="15.6" x14ac:dyDescent="0.3">
      <c r="A183" s="301"/>
      <c r="B183" s="258" t="s">
        <v>103</v>
      </c>
      <c r="C183" s="302"/>
      <c r="D183" s="302"/>
      <c r="E183" s="302"/>
      <c r="F183" s="302"/>
      <c r="G183" s="302"/>
      <c r="H183" s="303"/>
      <c r="I183" s="303"/>
      <c r="J183" s="303"/>
      <c r="K183" s="304">
        <f>K80/E58</f>
        <v>3.885648030725751E-2</v>
      </c>
      <c r="L183" s="258"/>
      <c r="M183" s="258"/>
      <c r="N183" s="264"/>
      <c r="O183" s="6"/>
    </row>
    <row r="184" spans="1:15" ht="15.6" x14ac:dyDescent="0.3">
      <c r="A184" s="301"/>
      <c r="B184" s="258" t="s">
        <v>104</v>
      </c>
      <c r="C184" s="302"/>
      <c r="D184" s="302"/>
      <c r="E184" s="302"/>
      <c r="F184" s="302"/>
      <c r="G184" s="302"/>
      <c r="H184" s="303"/>
      <c r="I184" s="303"/>
      <c r="J184" s="303"/>
      <c r="K184" s="304">
        <v>0.2707</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855</v>
      </c>
      <c r="K187" s="369">
        <v>22006</v>
      </c>
      <c r="L187" s="217"/>
      <c r="M187" s="229"/>
      <c r="N187" s="230"/>
      <c r="O187" s="6"/>
    </row>
    <row r="188" spans="1:15" ht="15.6" x14ac:dyDescent="0.3">
      <c r="A188" s="275"/>
      <c r="B188" s="258" t="s">
        <v>196</v>
      </c>
      <c r="C188" s="256"/>
      <c r="D188" s="256"/>
      <c r="E188" s="256"/>
      <c r="F188" s="256"/>
      <c r="G188" s="258"/>
      <c r="H188" s="258"/>
      <c r="I188" s="258"/>
      <c r="J188" s="276">
        <v>0</v>
      </c>
      <c r="K188" s="277">
        <v>0</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0</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58" t="s">
        <v>110</v>
      </c>
      <c r="C192" s="256"/>
      <c r="D192" s="256"/>
      <c r="E192" s="258"/>
      <c r="F192" s="258"/>
      <c r="G192" s="258"/>
      <c r="H192" s="258"/>
      <c r="I192" s="258"/>
      <c r="J192" s="258"/>
      <c r="K192" s="277">
        <f>+M139</f>
        <v>1008</v>
      </c>
      <c r="L192" s="258"/>
      <c r="M192" s="281"/>
      <c r="N192" s="286"/>
      <c r="O192" s="6"/>
    </row>
    <row r="193" spans="1:15" ht="15.6" x14ac:dyDescent="0.3">
      <c r="A193" s="275"/>
      <c r="B193" s="258" t="s">
        <v>111</v>
      </c>
      <c r="C193" s="256"/>
      <c r="D193" s="256"/>
      <c r="E193" s="256"/>
      <c r="F193" s="256"/>
      <c r="G193" s="256"/>
      <c r="H193" s="258"/>
      <c r="I193" s="258"/>
      <c r="J193" s="258"/>
      <c r="K193" s="277">
        <f>'July 11'!K193+'Oct 11'!K192</f>
        <v>27893</v>
      </c>
      <c r="L193" s="258"/>
      <c r="M193" s="281"/>
      <c r="N193" s="286"/>
      <c r="O193" s="6"/>
    </row>
    <row r="194" spans="1:15" ht="15.6" x14ac:dyDescent="0.3">
      <c r="A194" s="275"/>
      <c r="B194" s="258" t="s">
        <v>112</v>
      </c>
      <c r="C194" s="256"/>
      <c r="D194" s="256"/>
      <c r="E194" s="256"/>
      <c r="F194" s="256"/>
      <c r="G194" s="256"/>
      <c r="H194" s="258"/>
      <c r="I194" s="258"/>
      <c r="J194" s="258"/>
      <c r="K194" s="277">
        <f>+'July 11'!K194+154</f>
        <v>7335</v>
      </c>
      <c r="L194" s="258"/>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1</v>
      </c>
      <c r="L196" s="258"/>
      <c r="M196" s="261"/>
      <c r="N196" s="286"/>
      <c r="O196" s="6"/>
    </row>
    <row r="197" spans="1:15" ht="15.6" x14ac:dyDescent="0.3">
      <c r="A197" s="275"/>
      <c r="B197" s="258" t="s">
        <v>113</v>
      </c>
      <c r="C197" s="256"/>
      <c r="D197" s="256"/>
      <c r="E197" s="290"/>
      <c r="F197" s="290"/>
      <c r="G197" s="291"/>
      <c r="H197" s="258"/>
      <c r="I197" s="258"/>
      <c r="J197" s="258"/>
      <c r="K197" s="292">
        <v>26.56</v>
      </c>
      <c r="L197" s="258"/>
      <c r="M197" s="261"/>
      <c r="N197" s="286"/>
      <c r="O197" s="6"/>
    </row>
    <row r="198" spans="1:15" ht="15.6" x14ac:dyDescent="0.3">
      <c r="A198" s="275"/>
      <c r="B198" s="258" t="s">
        <v>114</v>
      </c>
      <c r="C198" s="256"/>
      <c r="D198" s="256"/>
      <c r="E198" s="290"/>
      <c r="F198" s="290"/>
      <c r="G198" s="291"/>
      <c r="H198" s="258"/>
      <c r="I198" s="258"/>
      <c r="J198" s="258"/>
      <c r="K198" s="292">
        <v>7.87</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4842</v>
      </c>
      <c r="J203" s="232">
        <f>I203/I212</f>
        <v>0.84992101105845186</v>
      </c>
      <c r="K203" s="221">
        <v>109619</v>
      </c>
      <c r="L203" s="232">
        <f>K203/K212</f>
        <v>0.83281291547958214</v>
      </c>
      <c r="M203" s="228"/>
      <c r="N203" s="218"/>
      <c r="O203" s="6"/>
    </row>
    <row r="204" spans="1:15" ht="15.6" x14ac:dyDescent="0.3">
      <c r="A204" s="255"/>
      <c r="B204" s="256" t="s">
        <v>117</v>
      </c>
      <c r="C204" s="257"/>
      <c r="D204" s="257"/>
      <c r="E204" s="256"/>
      <c r="F204" s="257"/>
      <c r="G204" s="258"/>
      <c r="H204" s="259"/>
      <c r="I204" s="256">
        <v>219</v>
      </c>
      <c r="J204" s="259">
        <f>I204/I212</f>
        <v>3.8441284886782515E-2</v>
      </c>
      <c r="K204" s="260">
        <v>5332</v>
      </c>
      <c r="L204" s="259">
        <f>K204/K212</f>
        <v>4.0509021842355178E-2</v>
      </c>
      <c r="M204" s="261"/>
      <c r="N204" s="263"/>
      <c r="O204" s="6"/>
    </row>
    <row r="205" spans="1:15" ht="15.6" x14ac:dyDescent="0.3">
      <c r="A205" s="255"/>
      <c r="B205" s="256" t="s">
        <v>118</v>
      </c>
      <c r="C205" s="257"/>
      <c r="D205" s="257"/>
      <c r="E205" s="256"/>
      <c r="F205" s="257"/>
      <c r="G205" s="258"/>
      <c r="H205" s="259"/>
      <c r="I205" s="256">
        <v>139</v>
      </c>
      <c r="J205" s="259">
        <f>I205/I212</f>
        <v>2.4398806389327718E-2</v>
      </c>
      <c r="K205" s="260">
        <v>3632</v>
      </c>
      <c r="L205" s="259">
        <f>K205/K212</f>
        <v>2.7593542260208926E-2</v>
      </c>
      <c r="M205" s="261"/>
      <c r="N205" s="263"/>
      <c r="O205" s="6"/>
    </row>
    <row r="206" spans="1:15" ht="15.6" x14ac:dyDescent="0.3">
      <c r="A206" s="255"/>
      <c r="B206" s="256" t="s">
        <v>167</v>
      </c>
      <c r="C206" s="257"/>
      <c r="D206" s="257"/>
      <c r="E206" s="256"/>
      <c r="F206" s="257"/>
      <c r="G206" s="258"/>
      <c r="H206" s="259"/>
      <c r="I206" s="256">
        <v>104</v>
      </c>
      <c r="J206" s="259">
        <f>I206/I212</f>
        <v>1.8255222046691243E-2</v>
      </c>
      <c r="K206" s="260">
        <v>2725</v>
      </c>
      <c r="L206" s="259">
        <f>K206/K212</f>
        <v>2.0702754036087369E-2</v>
      </c>
      <c r="M206" s="261"/>
      <c r="N206" s="262"/>
      <c r="O206" s="6"/>
    </row>
    <row r="207" spans="1:15" ht="15.6" x14ac:dyDescent="0.3">
      <c r="A207" s="255"/>
      <c r="B207" s="256" t="s">
        <v>168</v>
      </c>
      <c r="C207" s="257"/>
      <c r="D207" s="257"/>
      <c r="E207" s="256"/>
      <c r="F207" s="257"/>
      <c r="G207" s="258"/>
      <c r="H207" s="259"/>
      <c r="I207" s="256">
        <v>98</v>
      </c>
      <c r="J207" s="259">
        <f>I207/I212</f>
        <v>1.7202036159382129E-2</v>
      </c>
      <c r="K207" s="260">
        <v>2383</v>
      </c>
      <c r="L207" s="259">
        <f>K207/K212</f>
        <v>1.8104463437796772E-2</v>
      </c>
      <c r="M207" s="374"/>
      <c r="N207" s="262"/>
      <c r="O207" s="6"/>
    </row>
    <row r="208" spans="1:15" ht="15.6" x14ac:dyDescent="0.3">
      <c r="A208" s="255"/>
      <c r="B208" s="256" t="s">
        <v>169</v>
      </c>
      <c r="C208" s="257"/>
      <c r="D208" s="257"/>
      <c r="E208" s="256"/>
      <c r="F208" s="257"/>
      <c r="G208" s="258"/>
      <c r="H208" s="259"/>
      <c r="I208" s="256">
        <v>64</v>
      </c>
      <c r="J208" s="259">
        <f>I208/I212</f>
        <v>1.1233982797963841E-2</v>
      </c>
      <c r="K208" s="260">
        <v>1717</v>
      </c>
      <c r="L208" s="259">
        <f>K208/K212</f>
        <v>1.3044634377967712E-2</v>
      </c>
      <c r="M208" s="261"/>
      <c r="N208" s="262"/>
      <c r="O208" s="6"/>
    </row>
    <row r="209" spans="1:15" ht="15.6" x14ac:dyDescent="0.3">
      <c r="A209" s="255"/>
      <c r="B209" s="256" t="s">
        <v>176</v>
      </c>
      <c r="C209" s="257"/>
      <c r="D209" s="257"/>
      <c r="E209" s="256"/>
      <c r="F209" s="257"/>
      <c r="G209" s="258"/>
      <c r="H209" s="259"/>
      <c r="I209" s="256">
        <v>142</v>
      </c>
      <c r="J209" s="259">
        <f>I209/I212</f>
        <v>2.4925399332982271E-2</v>
      </c>
      <c r="K209" s="260">
        <v>3866</v>
      </c>
      <c r="L209" s="259">
        <f>K209/K212</f>
        <v>2.9371320037986703E-2</v>
      </c>
      <c r="M209" s="261"/>
      <c r="N209" s="263"/>
      <c r="O209" s="6"/>
    </row>
    <row r="210" spans="1:15" ht="15.6" x14ac:dyDescent="0.3">
      <c r="A210" s="255"/>
      <c r="B210" s="256" t="s">
        <v>202</v>
      </c>
      <c r="C210" s="257"/>
      <c r="D210" s="257"/>
      <c r="E210" s="256"/>
      <c r="F210" s="257"/>
      <c r="G210" s="258"/>
      <c r="H210" s="259"/>
      <c r="I210" s="256">
        <v>89</v>
      </c>
      <c r="J210" s="259">
        <f>+I210/I212</f>
        <v>1.5622257328418467E-2</v>
      </c>
      <c r="K210" s="260">
        <v>2351</v>
      </c>
      <c r="L210" s="259">
        <f>+K210/K212</f>
        <v>1.7861348528015193E-2</v>
      </c>
      <c r="M210" s="261"/>
      <c r="N210" s="263"/>
      <c r="O210" s="6"/>
    </row>
    <row r="211" spans="1:15" ht="15.6" x14ac:dyDescent="0.3">
      <c r="A211" s="255"/>
      <c r="B211" s="256" t="s">
        <v>170</v>
      </c>
      <c r="C211" s="257"/>
      <c r="D211" s="257"/>
      <c r="E211" s="256"/>
      <c r="F211" s="257"/>
      <c r="G211" s="256"/>
      <c r="H211" s="259"/>
      <c r="I211" s="256">
        <v>0</v>
      </c>
      <c r="J211" s="259">
        <f>I211/I212</f>
        <v>0</v>
      </c>
      <c r="K211" s="260">
        <v>0</v>
      </c>
      <c r="L211" s="259">
        <f>+K211/K212</f>
        <v>0</v>
      </c>
      <c r="M211" s="261"/>
      <c r="N211" s="263"/>
      <c r="O211" s="6"/>
    </row>
    <row r="212" spans="1:15" ht="15.6" x14ac:dyDescent="0.3">
      <c r="A212" s="255"/>
      <c r="B212" s="258" t="s">
        <v>189</v>
      </c>
      <c r="C212" s="258"/>
      <c r="D212" s="258"/>
      <c r="E212" s="258"/>
      <c r="F212" s="258"/>
      <c r="G212" s="256"/>
      <c r="H212" s="258"/>
      <c r="I212" s="256">
        <f>SUM(I203:I211)</f>
        <v>5697</v>
      </c>
      <c r="J212" s="259">
        <f>SUM(J203:J211)</f>
        <v>1</v>
      </c>
      <c r="K212" s="260">
        <f>SUM(K203:K211)</f>
        <v>131625</v>
      </c>
      <c r="L212" s="259">
        <f>SUM(L203:L211)</f>
        <v>1</v>
      </c>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1.0173000000000001</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OCTOBER 2011</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phoneticPr fontId="0" type="noConversion"/>
  <hyperlinks>
    <hyperlink ref="I10" r:id="rId1" xr:uid="{00000000-0004-0000-1A00-000000000000}"/>
    <hyperlink ref="K200" r:id="rId2" xr:uid="{00000000-0004-0000-1A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2D2926"/>
  </sheetPr>
  <dimension ref="A1:P225"/>
  <sheetViews>
    <sheetView showOutlineSymbols="0" zoomScale="70" zoomScaleNormal="70" workbookViewId="0">
      <selection activeCell="C47" activeCellId="1" sqref="A1 C47"/>
    </sheetView>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40955</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121</v>
      </c>
      <c r="D27" s="341"/>
      <c r="E27" s="341" t="s">
        <v>125</v>
      </c>
      <c r="F27" s="341"/>
      <c r="G27" s="341" t="s">
        <v>239</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70945.967399999994</v>
      </c>
      <c r="D31" s="345"/>
      <c r="E31" s="344">
        <f>E30*E34</f>
        <v>36935.186399999999</v>
      </c>
      <c r="F31" s="344"/>
      <c r="G31" s="344">
        <f>G30*G34</f>
        <v>23744.0484</v>
      </c>
      <c r="H31" s="346"/>
      <c r="I31" s="346"/>
      <c r="J31" s="346"/>
      <c r="K31" s="346"/>
      <c r="L31" s="347"/>
      <c r="M31" s="344">
        <f>C31+E31+G31</f>
        <v>131625.2022</v>
      </c>
      <c r="N31" s="348"/>
      <c r="O31" s="6"/>
    </row>
    <row r="32" spans="1:15" ht="15.6" x14ac:dyDescent="0.3">
      <c r="A32" s="340"/>
      <c r="B32" s="319" t="s">
        <v>16</v>
      </c>
      <c r="C32" s="349">
        <f>C30*C33</f>
        <v>67960.430999999997</v>
      </c>
      <c r="D32" s="350"/>
      <c r="E32" s="349">
        <f>E30*E33</f>
        <v>35380.892399999997</v>
      </c>
      <c r="F32" s="349"/>
      <c r="G32" s="349">
        <f>G30*G33</f>
        <v>22744.859400000001</v>
      </c>
      <c r="H32" s="351"/>
      <c r="I32" s="351"/>
      <c r="J32" s="351"/>
      <c r="K32" s="351"/>
      <c r="L32" s="352"/>
      <c r="M32" s="344">
        <f>C32+E32+G32</f>
        <v>126086.1828</v>
      </c>
      <c r="N32" s="348"/>
      <c r="O32" s="6"/>
    </row>
    <row r="33" spans="1:15" ht="15.6" x14ac:dyDescent="0.3">
      <c r="A33" s="340"/>
      <c r="B33" s="278" t="s">
        <v>174</v>
      </c>
      <c r="C33" s="371">
        <v>0.29420099999999999</v>
      </c>
      <c r="D33" s="372"/>
      <c r="E33" s="371">
        <v>0.84240219999999999</v>
      </c>
      <c r="F33" s="371"/>
      <c r="G33" s="371">
        <v>0.84240219999999999</v>
      </c>
      <c r="H33" s="373"/>
      <c r="I33" s="373"/>
      <c r="J33" s="351"/>
      <c r="K33" s="351"/>
      <c r="L33" s="352"/>
      <c r="M33" s="351"/>
      <c r="N33" s="348"/>
      <c r="O33" s="6"/>
    </row>
    <row r="34" spans="1:15" ht="15.6" x14ac:dyDescent="0.3">
      <c r="A34" s="340"/>
      <c r="B34" s="278" t="s">
        <v>175</v>
      </c>
      <c r="C34" s="371">
        <v>0.30712539999999999</v>
      </c>
      <c r="D34" s="372"/>
      <c r="E34" s="371">
        <v>0.8794092</v>
      </c>
      <c r="F34" s="371"/>
      <c r="G34" s="371">
        <v>0.8794092</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1.40763E-2</v>
      </c>
      <c r="D36" s="258"/>
      <c r="E36" s="356">
        <v>2.5076299999999999E-2</v>
      </c>
      <c r="F36" s="304"/>
      <c r="G36" s="356">
        <v>3.00763E-2</v>
      </c>
      <c r="H36" s="304"/>
      <c r="I36" s="356"/>
      <c r="J36" s="304"/>
      <c r="K36" s="356"/>
      <c r="L36" s="321"/>
      <c r="M36" s="304">
        <f>SUMPRODUCT(C36:G36,C31:G31)/M31</f>
        <v>2.0049258154361718E-2</v>
      </c>
      <c r="N36" s="264"/>
      <c r="O36" s="6"/>
    </row>
    <row r="37" spans="1:15" ht="15.6" x14ac:dyDescent="0.3">
      <c r="A37" s="307"/>
      <c r="B37" s="258" t="s">
        <v>19</v>
      </c>
      <c r="C37" s="356">
        <v>1.2521900000000001E-2</v>
      </c>
      <c r="D37" s="258"/>
      <c r="E37" s="356">
        <v>2.3521899999999998E-2</v>
      </c>
      <c r="F37" s="304"/>
      <c r="G37" s="356">
        <v>2.8521899999999999E-2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0.85528815731024421</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40954</v>
      </c>
      <c r="N47" s="264"/>
      <c r="O47" s="6"/>
    </row>
    <row r="48" spans="1:15" ht="15.6" x14ac:dyDescent="0.3">
      <c r="A48" s="307"/>
      <c r="B48" s="258" t="s">
        <v>26</v>
      </c>
      <c r="C48" s="258"/>
      <c r="D48" s="258"/>
      <c r="E48" s="258"/>
      <c r="F48" s="258"/>
      <c r="G48" s="258"/>
      <c r="H48" s="258"/>
      <c r="I48" s="258"/>
      <c r="J48" s="258">
        <f>M48-K48+1</f>
        <v>92</v>
      </c>
      <c r="K48" s="360">
        <v>40770</v>
      </c>
      <c r="L48" s="361"/>
      <c r="M48" s="360">
        <v>40861</v>
      </c>
      <c r="N48" s="264"/>
      <c r="O48" s="6"/>
    </row>
    <row r="49" spans="1:15" ht="15.6" x14ac:dyDescent="0.3">
      <c r="A49" s="307"/>
      <c r="B49" s="258" t="s">
        <v>27</v>
      </c>
      <c r="C49" s="258"/>
      <c r="D49" s="258"/>
      <c r="E49" s="258"/>
      <c r="F49" s="258"/>
      <c r="G49" s="258"/>
      <c r="H49" s="258"/>
      <c r="I49" s="258"/>
      <c r="J49" s="258">
        <f>M49-K49+1</f>
        <v>92</v>
      </c>
      <c r="K49" s="360">
        <v>40862</v>
      </c>
      <c r="L49" s="361"/>
      <c r="M49" s="360">
        <v>40953</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40940</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251</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131625</v>
      </c>
      <c r="F58" s="256"/>
      <c r="G58" s="256">
        <f>4316+1223</f>
        <v>5539</v>
      </c>
      <c r="H58" s="256"/>
      <c r="I58" s="256">
        <v>0</v>
      </c>
      <c r="J58" s="256"/>
      <c r="K58" s="256">
        <v>0</v>
      </c>
      <c r="L58" s="256"/>
      <c r="M58" s="260">
        <f>E58-G58+I58-K58</f>
        <v>126086</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131625</v>
      </c>
      <c r="F62" s="256"/>
      <c r="G62" s="256">
        <f>SUM(G58:G61)</f>
        <v>5539</v>
      </c>
      <c r="H62" s="256"/>
      <c r="I62" s="256">
        <f>SUM(I58:I61)</f>
        <v>0</v>
      </c>
      <c r="J62" s="256"/>
      <c r="K62" s="256">
        <f>SUM(K58:K61)</f>
        <v>0</v>
      </c>
      <c r="L62" s="256"/>
      <c r="M62" s="256">
        <f>SUM(M58:M61)</f>
        <v>126086</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131625</v>
      </c>
      <c r="F75" s="256"/>
      <c r="G75" s="256"/>
      <c r="H75" s="256"/>
      <c r="I75" s="256"/>
      <c r="J75" s="256"/>
      <c r="K75" s="256"/>
      <c r="L75" s="256"/>
      <c r="M75" s="256">
        <f>SUM(M62:M74)</f>
        <v>126086</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40939</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5539-1223</f>
        <v>4316</v>
      </c>
      <c r="L80" s="258"/>
      <c r="M80" s="260"/>
      <c r="N80" s="264"/>
      <c r="O80" s="6"/>
    </row>
    <row r="81" spans="1:16" ht="15.6" x14ac:dyDescent="0.3">
      <c r="A81" s="307"/>
      <c r="B81" s="258" t="s">
        <v>204</v>
      </c>
      <c r="C81" s="290"/>
      <c r="D81" s="325"/>
      <c r="E81" s="326"/>
      <c r="F81" s="258"/>
      <c r="G81" s="258"/>
      <c r="H81" s="258"/>
      <c r="I81" s="258"/>
      <c r="J81" s="258"/>
      <c r="K81" s="256"/>
      <c r="L81" s="258"/>
      <c r="M81" s="260">
        <f>5759+22-2568</f>
        <v>3213</v>
      </c>
      <c r="N81" s="264"/>
      <c r="O81" s="6"/>
    </row>
    <row r="82" spans="1:16" ht="15.6" x14ac:dyDescent="0.3">
      <c r="A82" s="307"/>
      <c r="B82" s="258" t="s">
        <v>205</v>
      </c>
      <c r="C82" s="290"/>
      <c r="D82" s="325"/>
      <c r="E82" s="326"/>
      <c r="F82" s="258"/>
      <c r="G82" s="258"/>
      <c r="H82" s="258"/>
      <c r="I82" s="258"/>
      <c r="J82" s="258"/>
      <c r="K82" s="256"/>
      <c r="L82" s="258"/>
      <c r="M82" s="260">
        <f>136</f>
        <v>136</v>
      </c>
      <c r="N82" s="264"/>
      <c r="O82" s="6"/>
    </row>
    <row r="83" spans="1:16" ht="15.6" x14ac:dyDescent="0.3">
      <c r="A83" s="307"/>
      <c r="B83" s="258" t="s">
        <v>206</v>
      </c>
      <c r="C83" s="290"/>
      <c r="D83" s="325"/>
      <c r="E83" s="326"/>
      <c r="F83" s="258"/>
      <c r="G83" s="258"/>
      <c r="H83" s="258"/>
      <c r="I83" s="258"/>
      <c r="J83" s="258"/>
      <c r="K83" s="256"/>
      <c r="L83" s="258"/>
      <c r="M83" s="260">
        <v>33</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4316</v>
      </c>
      <c r="L85" s="258"/>
      <c r="M85" s="256">
        <f>SUM(M79:M84)</f>
        <v>3382</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4316</v>
      </c>
      <c r="L87" s="258"/>
      <c r="M87" s="256">
        <f>M85+M86</f>
        <v>3382</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-50-63-2</f>
        <v>-115</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-251</v>
      </c>
      <c r="N93" s="311"/>
      <c r="O93" s="6"/>
    </row>
    <row r="94" spans="1:16" ht="15.6" x14ac:dyDescent="0.3">
      <c r="A94" s="255">
        <v>5</v>
      </c>
      <c r="B94" s="258" t="s">
        <v>52</v>
      </c>
      <c r="C94" s="258"/>
      <c r="D94" s="258"/>
      <c r="E94" s="258"/>
      <c r="F94" s="258"/>
      <c r="G94" s="258"/>
      <c r="H94" s="258"/>
      <c r="I94" s="258"/>
      <c r="J94" s="258"/>
      <c r="K94" s="258"/>
      <c r="L94" s="258"/>
      <c r="M94" s="260">
        <v>-233</v>
      </c>
      <c r="N94" s="311"/>
      <c r="O94" s="6"/>
    </row>
    <row r="95" spans="1:16" ht="15.6" x14ac:dyDescent="0.3">
      <c r="A95" s="255">
        <v>6</v>
      </c>
      <c r="B95" s="258" t="s">
        <v>172</v>
      </c>
      <c r="C95" s="258"/>
      <c r="D95" s="258"/>
      <c r="E95" s="258"/>
      <c r="F95" s="258"/>
      <c r="G95" s="258"/>
      <c r="H95" s="258"/>
      <c r="I95" s="258"/>
      <c r="J95" s="258"/>
      <c r="K95" s="258"/>
      <c r="L95" s="258"/>
      <c r="M95" s="260">
        <v>-180</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1223</v>
      </c>
      <c r="L97" s="258"/>
      <c r="M97" s="260">
        <v>-1223</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-49</v>
      </c>
      <c r="N101" s="311"/>
      <c r="O101" s="6"/>
    </row>
    <row r="102" spans="1:16" ht="15.6" x14ac:dyDescent="0.3">
      <c r="A102" s="255">
        <v>13</v>
      </c>
      <c r="B102" s="258" t="s">
        <v>195</v>
      </c>
      <c r="C102" s="258"/>
      <c r="D102" s="258"/>
      <c r="E102" s="258"/>
      <c r="F102" s="258"/>
      <c r="G102" s="258"/>
      <c r="H102" s="258"/>
      <c r="I102" s="258"/>
      <c r="J102" s="258"/>
      <c r="K102" s="258"/>
      <c r="L102" s="258"/>
      <c r="M102" s="260">
        <f>-M87-SUM(M89:M101)</f>
        <v>-1322</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-2986</v>
      </c>
      <c r="L107" s="256"/>
      <c r="M107" s="260"/>
      <c r="N107" s="311"/>
      <c r="O107" s="6"/>
    </row>
    <row r="108" spans="1:16" ht="15.6" x14ac:dyDescent="0.3">
      <c r="A108" s="307"/>
      <c r="B108" s="258" t="s">
        <v>59</v>
      </c>
      <c r="C108" s="258"/>
      <c r="D108" s="258"/>
      <c r="E108" s="258"/>
      <c r="F108" s="258"/>
      <c r="G108" s="258"/>
      <c r="H108" s="258"/>
      <c r="I108" s="258"/>
      <c r="J108" s="258"/>
      <c r="K108" s="256">
        <v>-1554</v>
      </c>
      <c r="L108" s="256"/>
      <c r="M108" s="260"/>
      <c r="N108" s="311"/>
      <c r="O108" s="6"/>
    </row>
    <row r="109" spans="1:16" ht="15.6" x14ac:dyDescent="0.3">
      <c r="A109" s="307"/>
      <c r="B109" s="258" t="s">
        <v>186</v>
      </c>
      <c r="C109" s="258"/>
      <c r="D109" s="258"/>
      <c r="E109" s="258"/>
      <c r="F109" s="258"/>
      <c r="G109" s="258"/>
      <c r="H109" s="258"/>
      <c r="I109" s="258"/>
      <c r="J109" s="258"/>
      <c r="K109" s="256">
        <v>-999</v>
      </c>
      <c r="L109" s="256"/>
      <c r="M109" s="260"/>
      <c r="N109" s="311"/>
      <c r="O109" s="6"/>
    </row>
    <row r="110" spans="1:16" ht="15.6" x14ac:dyDescent="0.3">
      <c r="A110" s="307"/>
      <c r="B110" s="258" t="s">
        <v>60</v>
      </c>
      <c r="C110" s="258"/>
      <c r="D110" s="258"/>
      <c r="E110" s="258"/>
      <c r="F110" s="258"/>
      <c r="G110" s="258"/>
      <c r="H110" s="258"/>
      <c r="I110" s="258"/>
      <c r="J110" s="258"/>
      <c r="K110" s="256">
        <f>+K105+K106+K107+K108+K109</f>
        <v>-5539</v>
      </c>
      <c r="L110" s="256"/>
      <c r="M110" s="256">
        <f>SUM(M88:M109)</f>
        <v>-3382</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JANUARY 2012</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720</v>
      </c>
      <c r="N137" s="264"/>
      <c r="O137" s="6"/>
    </row>
    <row r="138" spans="1:15" ht="15.6" x14ac:dyDescent="0.3">
      <c r="A138" s="307"/>
      <c r="B138" s="258" t="s">
        <v>180</v>
      </c>
      <c r="C138" s="258"/>
      <c r="D138" s="258"/>
      <c r="E138" s="258"/>
      <c r="F138" s="258"/>
      <c r="G138" s="258"/>
      <c r="H138" s="258"/>
      <c r="I138" s="258"/>
      <c r="J138" s="258"/>
      <c r="K138" s="258"/>
      <c r="L138" s="258"/>
      <c r="M138" s="260">
        <f>456+47</f>
        <v>503</v>
      </c>
      <c r="N138" s="264"/>
      <c r="O138" s="6"/>
    </row>
    <row r="139" spans="1:15" ht="15.6" x14ac:dyDescent="0.3">
      <c r="A139" s="307"/>
      <c r="B139" s="258" t="s">
        <v>77</v>
      </c>
      <c r="C139" s="258"/>
      <c r="D139" s="258"/>
      <c r="E139" s="258"/>
      <c r="F139" s="258"/>
      <c r="G139" s="258"/>
      <c r="H139" s="258"/>
      <c r="I139" s="258"/>
      <c r="J139" s="258"/>
      <c r="K139" s="258"/>
      <c r="L139" s="258"/>
      <c r="M139" s="260">
        <f>M137+M136+M138</f>
        <v>1223</v>
      </c>
      <c r="N139" s="264"/>
      <c r="O139" s="6"/>
    </row>
    <row r="140" spans="1:15" ht="15.6" x14ac:dyDescent="0.3">
      <c r="A140" s="307"/>
      <c r="B140" s="258" t="s">
        <v>183</v>
      </c>
      <c r="C140" s="258"/>
      <c r="D140" s="258"/>
      <c r="E140" s="258"/>
      <c r="F140" s="258"/>
      <c r="G140" s="258"/>
      <c r="H140" s="258"/>
      <c r="I140" s="303"/>
      <c r="J140" s="258"/>
      <c r="K140" s="258"/>
      <c r="L140" s="258"/>
      <c r="M140" s="260">
        <f>M97</f>
        <v>-1223</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126086</v>
      </c>
      <c r="N146" s="318"/>
      <c r="O146" s="6"/>
      <c r="P146" s="117"/>
    </row>
    <row r="147" spans="1:16" ht="15.6" x14ac:dyDescent="0.3">
      <c r="A147" s="307"/>
      <c r="B147" s="258" t="s">
        <v>80</v>
      </c>
      <c r="C147" s="319"/>
      <c r="D147" s="319"/>
      <c r="E147" s="258"/>
      <c r="F147" s="258"/>
      <c r="G147" s="258"/>
      <c r="H147" s="258"/>
      <c r="I147" s="258"/>
      <c r="J147" s="258"/>
      <c r="K147" s="258"/>
      <c r="L147" s="258"/>
      <c r="M147" s="260">
        <f>M75</f>
        <v>126086</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+'Oct 11'!I154</f>
        <v>7636</v>
      </c>
      <c r="J152" s="258"/>
      <c r="K152" s="260">
        <v>0</v>
      </c>
      <c r="L152" s="258"/>
      <c r="M152" s="260">
        <f>K152+I152</f>
        <v>7636</v>
      </c>
      <c r="N152" s="311"/>
      <c r="O152" s="6"/>
    </row>
    <row r="153" spans="1:16" ht="15.6" x14ac:dyDescent="0.3">
      <c r="A153" s="307"/>
      <c r="B153" s="258" t="s">
        <v>84</v>
      </c>
      <c r="C153" s="258"/>
      <c r="D153" s="258"/>
      <c r="E153" s="258"/>
      <c r="F153" s="258"/>
      <c r="G153" s="258"/>
      <c r="H153" s="258"/>
      <c r="I153" s="256">
        <v>0</v>
      </c>
      <c r="J153" s="258"/>
      <c r="K153" s="258">
        <v>0</v>
      </c>
      <c r="L153" s="258"/>
      <c r="M153" s="260">
        <f>K153+I153</f>
        <v>0</v>
      </c>
      <c r="N153" s="311"/>
      <c r="O153" s="6"/>
    </row>
    <row r="154" spans="1:16" ht="15.6" x14ac:dyDescent="0.3">
      <c r="A154" s="307"/>
      <c r="B154" s="258" t="s">
        <v>85</v>
      </c>
      <c r="C154" s="258"/>
      <c r="D154" s="258"/>
      <c r="E154" s="258"/>
      <c r="F154" s="258"/>
      <c r="G154" s="258"/>
      <c r="H154" s="258"/>
      <c r="I154" s="260">
        <f>I152+I153</f>
        <v>7636</v>
      </c>
      <c r="J154" s="258"/>
      <c r="K154" s="260">
        <f>K153+K152</f>
        <v>0</v>
      </c>
      <c r="L154" s="258"/>
      <c r="M154" s="260">
        <f>K154+I154</f>
        <v>7636</v>
      </c>
      <c r="N154" s="311"/>
      <c r="O154" s="6"/>
    </row>
    <row r="155" spans="1:16" ht="15.6" x14ac:dyDescent="0.3">
      <c r="A155" s="307"/>
      <c r="B155" s="258" t="s">
        <v>86</v>
      </c>
      <c r="C155" s="258"/>
      <c r="D155" s="258"/>
      <c r="E155" s="258"/>
      <c r="F155" s="258"/>
      <c r="G155" s="258"/>
      <c r="H155" s="258"/>
      <c r="I155" s="260">
        <f>I151-I154-K154</f>
        <v>7364</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13.00796812749004</v>
      </c>
      <c r="N159" s="264" t="s">
        <v>145</v>
      </c>
      <c r="O159" s="6"/>
    </row>
    <row r="160" spans="1:16" ht="15.6" x14ac:dyDescent="0.3">
      <c r="A160" s="307"/>
      <c r="B160" s="258" t="s">
        <v>89</v>
      </c>
      <c r="C160" s="258"/>
      <c r="D160" s="258"/>
      <c r="E160" s="258"/>
      <c r="F160" s="258"/>
      <c r="G160" s="258"/>
      <c r="H160" s="258"/>
      <c r="I160" s="258"/>
      <c r="J160" s="258"/>
      <c r="K160" s="258"/>
      <c r="L160" s="258"/>
      <c r="M160" s="309">
        <v>3.18</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12.935622317596566</v>
      </c>
      <c r="N161" s="264" t="s">
        <v>145</v>
      </c>
      <c r="O161" s="6"/>
    </row>
    <row r="162" spans="1:15" ht="15.6" x14ac:dyDescent="0.3">
      <c r="A162" s="307"/>
      <c r="B162" s="258" t="s">
        <v>91</v>
      </c>
      <c r="C162" s="258"/>
      <c r="D162" s="258"/>
      <c r="E162" s="258"/>
      <c r="F162" s="258"/>
      <c r="G162" s="258"/>
      <c r="H162" s="258"/>
      <c r="I162" s="258"/>
      <c r="J162" s="258"/>
      <c r="K162" s="258"/>
      <c r="L162" s="258"/>
      <c r="M162" s="310">
        <v>9.11</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15.45</v>
      </c>
      <c r="N163" s="264" t="s">
        <v>145</v>
      </c>
      <c r="O163" s="6"/>
    </row>
    <row r="164" spans="1:15" ht="15.6" x14ac:dyDescent="0.3">
      <c r="A164" s="307"/>
      <c r="B164" s="258" t="s">
        <v>182</v>
      </c>
      <c r="C164" s="258"/>
      <c r="D164" s="258"/>
      <c r="E164" s="258"/>
      <c r="F164" s="258"/>
      <c r="G164" s="258"/>
      <c r="H164" s="258"/>
      <c r="I164" s="258"/>
      <c r="J164" s="258"/>
      <c r="K164" s="258"/>
      <c r="L164" s="258"/>
      <c r="M164" s="310">
        <v>11.75</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JANUARY 2012</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v>40939</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9.5699999999999993E-2</v>
      </c>
      <c r="L174" s="258"/>
      <c r="M174" s="258"/>
      <c r="N174" s="264"/>
      <c r="O174" s="6"/>
    </row>
    <row r="175" spans="1:15" ht="15.6" x14ac:dyDescent="0.3">
      <c r="A175" s="301"/>
      <c r="B175" s="258" t="s">
        <v>97</v>
      </c>
      <c r="C175" s="302"/>
      <c r="D175" s="302"/>
      <c r="E175" s="302"/>
      <c r="F175" s="302"/>
      <c r="G175" s="302"/>
      <c r="H175" s="303"/>
      <c r="I175" s="303"/>
      <c r="J175" s="303"/>
      <c r="K175" s="304">
        <f>M36</f>
        <v>2.0049258154361718E-2</v>
      </c>
      <c r="L175" s="258"/>
      <c r="M175" s="258"/>
      <c r="N175" s="264"/>
      <c r="O175" s="6"/>
    </row>
    <row r="176" spans="1:15" ht="15.6" x14ac:dyDescent="0.3">
      <c r="A176" s="301"/>
      <c r="B176" s="258" t="s">
        <v>98</v>
      </c>
      <c r="C176" s="302"/>
      <c r="D176" s="302"/>
      <c r="E176" s="302"/>
      <c r="F176" s="302"/>
      <c r="G176" s="302"/>
      <c r="H176" s="303"/>
      <c r="I176" s="303"/>
      <c r="J176" s="303"/>
      <c r="K176" s="304">
        <f>K174-K175</f>
        <v>7.5650741845638275E-2</v>
      </c>
      <c r="L176" s="258"/>
      <c r="M176" s="258"/>
      <c r="N176" s="264"/>
      <c r="O176" s="6"/>
    </row>
    <row r="177" spans="1:15" ht="15.6" x14ac:dyDescent="0.3">
      <c r="A177" s="301"/>
      <c r="B177" s="258" t="s">
        <v>211</v>
      </c>
      <c r="C177" s="302"/>
      <c r="D177" s="302"/>
      <c r="E177" s="302"/>
      <c r="F177" s="302"/>
      <c r="G177" s="302"/>
      <c r="H177" s="303"/>
      <c r="I177" s="303"/>
      <c r="J177" s="303"/>
      <c r="K177" s="304">
        <f>(+M87+M89)/E58</f>
        <v>2.5694207027540363E-2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13.04</v>
      </c>
      <c r="L182" s="258" t="s">
        <v>139</v>
      </c>
      <c r="M182" s="258"/>
      <c r="N182" s="264"/>
      <c r="O182" s="6"/>
    </row>
    <row r="183" spans="1:15" ht="15.6" x14ac:dyDescent="0.3">
      <c r="A183" s="301"/>
      <c r="B183" s="258" t="s">
        <v>103</v>
      </c>
      <c r="C183" s="302"/>
      <c r="D183" s="302"/>
      <c r="E183" s="302"/>
      <c r="F183" s="302"/>
      <c r="G183" s="302"/>
      <c r="H183" s="303"/>
      <c r="I183" s="303"/>
      <c r="J183" s="303"/>
      <c r="K183" s="304">
        <f>K80/E58</f>
        <v>3.2790123456790124E-2</v>
      </c>
      <c r="L183" s="258"/>
      <c r="M183" s="258"/>
      <c r="N183" s="264"/>
      <c r="O183" s="6"/>
    </row>
    <row r="184" spans="1:15" ht="15.6" x14ac:dyDescent="0.3">
      <c r="A184" s="301"/>
      <c r="B184" s="258" t="s">
        <v>104</v>
      </c>
      <c r="C184" s="302"/>
      <c r="D184" s="302"/>
      <c r="E184" s="302"/>
      <c r="F184" s="302"/>
      <c r="G184" s="302"/>
      <c r="H184" s="303"/>
      <c r="I184" s="303"/>
      <c r="J184" s="303"/>
      <c r="K184" s="304">
        <v>0.26600000000000001</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828</v>
      </c>
      <c r="K187" s="369">
        <v>20460</v>
      </c>
      <c r="L187" s="217"/>
      <c r="M187" s="229"/>
      <c r="N187" s="230"/>
      <c r="O187" s="6"/>
    </row>
    <row r="188" spans="1:15" ht="15.6" x14ac:dyDescent="0.3">
      <c r="A188" s="275"/>
      <c r="B188" s="258" t="s">
        <v>196</v>
      </c>
      <c r="C188" s="256"/>
      <c r="D188" s="256"/>
      <c r="E188" s="256"/>
      <c r="F188" s="256"/>
      <c r="G188" s="258"/>
      <c r="H188" s="258"/>
      <c r="I188" s="258"/>
      <c r="J188" s="276">
        <v>0</v>
      </c>
      <c r="K188" s="277">
        <v>0</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0</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58" t="s">
        <v>110</v>
      </c>
      <c r="C192" s="256"/>
      <c r="D192" s="256"/>
      <c r="E192" s="258"/>
      <c r="F192" s="258"/>
      <c r="G192" s="258"/>
      <c r="H192" s="258"/>
      <c r="I192" s="258"/>
      <c r="J192" s="258"/>
      <c r="K192" s="277">
        <f>+M139</f>
        <v>1223</v>
      </c>
      <c r="L192" s="258"/>
      <c r="M192" s="281"/>
      <c r="N192" s="286"/>
      <c r="O192" s="6"/>
    </row>
    <row r="193" spans="1:15" ht="15.6" x14ac:dyDescent="0.3">
      <c r="A193" s="275"/>
      <c r="B193" s="258" t="s">
        <v>111</v>
      </c>
      <c r="C193" s="256"/>
      <c r="D193" s="256"/>
      <c r="E193" s="256"/>
      <c r="F193" s="256"/>
      <c r="G193" s="256"/>
      <c r="H193" s="258"/>
      <c r="I193" s="258"/>
      <c r="J193" s="258"/>
      <c r="K193" s="277">
        <f>'Oct 11'!K193+'Jan 12'!K192</f>
        <v>29116</v>
      </c>
      <c r="L193" s="258"/>
      <c r="M193" s="281"/>
      <c r="N193" s="286"/>
      <c r="O193" s="6"/>
    </row>
    <row r="194" spans="1:15" ht="15.6" x14ac:dyDescent="0.3">
      <c r="A194" s="275"/>
      <c r="B194" s="258" t="s">
        <v>112</v>
      </c>
      <c r="C194" s="256"/>
      <c r="D194" s="256"/>
      <c r="E194" s="256"/>
      <c r="F194" s="256"/>
      <c r="G194" s="256"/>
      <c r="H194" s="258"/>
      <c r="I194" s="258"/>
      <c r="J194" s="258"/>
      <c r="K194" s="277">
        <f>'Oct 11'!K194+342</f>
        <v>7677</v>
      </c>
      <c r="L194" s="258"/>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3</v>
      </c>
      <c r="L196" s="258"/>
      <c r="M196" s="261"/>
      <c r="N196" s="286"/>
      <c r="O196" s="6"/>
    </row>
    <row r="197" spans="1:15" ht="15.6" x14ac:dyDescent="0.3">
      <c r="A197" s="275"/>
      <c r="B197" s="258" t="s">
        <v>113</v>
      </c>
      <c r="C197" s="256"/>
      <c r="D197" s="256"/>
      <c r="E197" s="290"/>
      <c r="F197" s="290"/>
      <c r="G197" s="291"/>
      <c r="H197" s="258"/>
      <c r="I197" s="258"/>
      <c r="J197" s="258"/>
      <c r="K197" s="292">
        <v>20.46</v>
      </c>
      <c r="L197" s="258"/>
      <c r="M197" s="261"/>
      <c r="N197" s="286"/>
      <c r="O197" s="6"/>
    </row>
    <row r="198" spans="1:15" ht="15.6" x14ac:dyDescent="0.3">
      <c r="A198" s="275"/>
      <c r="B198" s="258" t="s">
        <v>114</v>
      </c>
      <c r="C198" s="256"/>
      <c r="D198" s="256"/>
      <c r="E198" s="290"/>
      <c r="F198" s="290"/>
      <c r="G198" s="291"/>
      <c r="H198" s="258"/>
      <c r="I198" s="258"/>
      <c r="J198" s="258"/>
      <c r="K198" s="292">
        <v>6.56</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4711</v>
      </c>
      <c r="J203" s="232">
        <f>I203/I212</f>
        <v>0.85051453330926163</v>
      </c>
      <c r="K203" s="221">
        <v>105626</v>
      </c>
      <c r="L203" s="232">
        <f>K203/K212</f>
        <v>0.83772980346747461</v>
      </c>
      <c r="M203" s="228"/>
      <c r="N203" s="218"/>
      <c r="O203" s="6"/>
    </row>
    <row r="204" spans="1:15" ht="15.6" x14ac:dyDescent="0.3">
      <c r="A204" s="255"/>
      <c r="B204" s="256" t="s">
        <v>117</v>
      </c>
      <c r="C204" s="257"/>
      <c r="D204" s="257"/>
      <c r="E204" s="256"/>
      <c r="F204" s="257"/>
      <c r="G204" s="258"/>
      <c r="H204" s="259"/>
      <c r="I204" s="256">
        <v>207</v>
      </c>
      <c r="J204" s="259">
        <f>I204/I212</f>
        <v>3.7371366672684599E-2</v>
      </c>
      <c r="K204" s="260">
        <v>4978</v>
      </c>
      <c r="L204" s="259">
        <f>K204/K212</f>
        <v>3.9480989166124705E-2</v>
      </c>
      <c r="M204" s="261"/>
      <c r="N204" s="263"/>
      <c r="O204" s="6"/>
    </row>
    <row r="205" spans="1:15" ht="15.6" x14ac:dyDescent="0.3">
      <c r="A205" s="255"/>
      <c r="B205" s="256" t="s">
        <v>118</v>
      </c>
      <c r="C205" s="257"/>
      <c r="D205" s="257"/>
      <c r="E205" s="256"/>
      <c r="F205" s="257"/>
      <c r="G205" s="258"/>
      <c r="H205" s="259"/>
      <c r="I205" s="256">
        <v>122</v>
      </c>
      <c r="J205" s="259">
        <f>I205/I212</f>
        <v>2.2025636396461455E-2</v>
      </c>
      <c r="K205" s="260">
        <v>2995</v>
      </c>
      <c r="L205" s="259">
        <f>K205/K212</f>
        <v>2.375362847580223E-2</v>
      </c>
      <c r="M205" s="261"/>
      <c r="N205" s="263"/>
      <c r="O205" s="6"/>
    </row>
    <row r="206" spans="1:15" ht="15.6" x14ac:dyDescent="0.3">
      <c r="A206" s="255"/>
      <c r="B206" s="256" t="s">
        <v>167</v>
      </c>
      <c r="C206" s="257"/>
      <c r="D206" s="257"/>
      <c r="E206" s="256"/>
      <c r="F206" s="257"/>
      <c r="G206" s="258"/>
      <c r="H206" s="259"/>
      <c r="I206" s="256">
        <v>108</v>
      </c>
      <c r="J206" s="259">
        <f>I206/I212</f>
        <v>1.9498104350965877E-2</v>
      </c>
      <c r="K206" s="260">
        <v>2842</v>
      </c>
      <c r="L206" s="259">
        <f>K206/K212</f>
        <v>2.2540170994400647E-2</v>
      </c>
      <c r="M206" s="261"/>
      <c r="N206" s="262"/>
      <c r="O206" s="6"/>
    </row>
    <row r="207" spans="1:15" ht="15.6" x14ac:dyDescent="0.3">
      <c r="A207" s="255"/>
      <c r="B207" s="256" t="s">
        <v>168</v>
      </c>
      <c r="C207" s="257"/>
      <c r="D207" s="257"/>
      <c r="E207" s="256"/>
      <c r="F207" s="257"/>
      <c r="G207" s="258"/>
      <c r="H207" s="259"/>
      <c r="I207" s="256">
        <v>87</v>
      </c>
      <c r="J207" s="259">
        <f>I207/I212</f>
        <v>1.5706806282722512E-2</v>
      </c>
      <c r="K207" s="260">
        <v>2013</v>
      </c>
      <c r="L207" s="259">
        <f>K207/K212</f>
        <v>1.5965293529812984E-2</v>
      </c>
      <c r="M207" s="374"/>
      <c r="N207" s="262"/>
      <c r="O207" s="6"/>
    </row>
    <row r="208" spans="1:15" ht="15.6" x14ac:dyDescent="0.3">
      <c r="A208" s="255"/>
      <c r="B208" s="256" t="s">
        <v>169</v>
      </c>
      <c r="C208" s="257"/>
      <c r="D208" s="257"/>
      <c r="E208" s="256"/>
      <c r="F208" s="257"/>
      <c r="G208" s="258"/>
      <c r="H208" s="259"/>
      <c r="I208" s="256">
        <v>62</v>
      </c>
      <c r="J208" s="259">
        <f>I208/I212</f>
        <v>1.1193356201480412E-2</v>
      </c>
      <c r="K208" s="260">
        <v>1476</v>
      </c>
      <c r="L208" s="259">
        <f>K208/K212</f>
        <v>1.1706295702932919E-2</v>
      </c>
      <c r="M208" s="261"/>
      <c r="N208" s="262"/>
      <c r="O208" s="6"/>
    </row>
    <row r="209" spans="1:15" ht="15.6" x14ac:dyDescent="0.3">
      <c r="A209" s="255"/>
      <c r="B209" s="256" t="s">
        <v>176</v>
      </c>
      <c r="C209" s="257"/>
      <c r="D209" s="257"/>
      <c r="E209" s="256"/>
      <c r="F209" s="257"/>
      <c r="G209" s="258"/>
      <c r="H209" s="259"/>
      <c r="I209" s="256">
        <v>138</v>
      </c>
      <c r="J209" s="259">
        <f>I209/I212</f>
        <v>2.4914244448456399E-2</v>
      </c>
      <c r="K209" s="260">
        <v>3589</v>
      </c>
      <c r="L209" s="259">
        <f>K209/K212</f>
        <v>2.8464698697714258E-2</v>
      </c>
      <c r="M209" s="261"/>
      <c r="N209" s="263"/>
      <c r="O209" s="6"/>
    </row>
    <row r="210" spans="1:15" ht="15.6" x14ac:dyDescent="0.3">
      <c r="A210" s="255"/>
      <c r="B210" s="256" t="s">
        <v>202</v>
      </c>
      <c r="C210" s="257"/>
      <c r="D210" s="257"/>
      <c r="E210" s="256"/>
      <c r="F210" s="257"/>
      <c r="G210" s="258"/>
      <c r="H210" s="259"/>
      <c r="I210" s="256">
        <v>104</v>
      </c>
      <c r="J210" s="259">
        <f>+I210/I212</f>
        <v>1.8775952337967142E-2</v>
      </c>
      <c r="K210" s="260">
        <v>2567</v>
      </c>
      <c r="L210" s="259">
        <f>+K210/K212</f>
        <v>2.0359119965737672E-2</v>
      </c>
      <c r="M210" s="261"/>
      <c r="N210" s="263"/>
      <c r="O210" s="6"/>
    </row>
    <row r="211" spans="1:15" ht="15.6" x14ac:dyDescent="0.3">
      <c r="A211" s="255"/>
      <c r="B211" s="256" t="s">
        <v>170</v>
      </c>
      <c r="C211" s="257"/>
      <c r="D211" s="257"/>
      <c r="E211" s="256"/>
      <c r="F211" s="257"/>
      <c r="G211" s="256"/>
      <c r="H211" s="259"/>
      <c r="I211" s="256">
        <v>0</v>
      </c>
      <c r="J211" s="259">
        <f>I211/I212</f>
        <v>0</v>
      </c>
      <c r="K211" s="260">
        <v>0</v>
      </c>
      <c r="L211" s="259">
        <f>+K211/K212</f>
        <v>0</v>
      </c>
      <c r="M211" s="261"/>
      <c r="N211" s="263"/>
      <c r="O211" s="6"/>
    </row>
    <row r="212" spans="1:15" ht="15.6" x14ac:dyDescent="0.3">
      <c r="A212" s="255"/>
      <c r="B212" s="258" t="s">
        <v>189</v>
      </c>
      <c r="C212" s="258"/>
      <c r="D212" s="258"/>
      <c r="E212" s="258"/>
      <c r="F212" s="258"/>
      <c r="G212" s="256"/>
      <c r="H212" s="258"/>
      <c r="I212" s="256">
        <f>SUM(I203:I211)</f>
        <v>5539</v>
      </c>
      <c r="J212" s="259">
        <f>SUM(J203:J211)</f>
        <v>1</v>
      </c>
      <c r="K212" s="260">
        <f>SUM(K203:K211)</f>
        <v>126086</v>
      </c>
      <c r="L212" s="259">
        <f>SUM(L203:L211)</f>
        <v>1</v>
      </c>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1.0012000000000001</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JANUARY 2012</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hyperlinks>
    <hyperlink ref="I10" r:id="rId1" xr:uid="{00000000-0004-0000-1B00-000000000000}"/>
    <hyperlink ref="K200" r:id="rId2" xr:uid="{00000000-0004-0000-1B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89CB31"/>
  </sheetPr>
  <dimension ref="A1:P225"/>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41050</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121</v>
      </c>
      <c r="D27" s="341"/>
      <c r="E27" s="341" t="s">
        <v>125</v>
      </c>
      <c r="F27" s="341"/>
      <c r="G27" s="341" t="s">
        <v>239</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67960.430999999997</v>
      </c>
      <c r="D31" s="345"/>
      <c r="E31" s="344">
        <f>E30*E34</f>
        <v>35380.892399999997</v>
      </c>
      <c r="F31" s="344"/>
      <c r="G31" s="344">
        <f>G30*G34</f>
        <v>22744.859400000001</v>
      </c>
      <c r="H31" s="346"/>
      <c r="I31" s="346"/>
      <c r="J31" s="346"/>
      <c r="K31" s="346"/>
      <c r="L31" s="347"/>
      <c r="M31" s="344">
        <f>C31+E31+G31</f>
        <v>126086.1828</v>
      </c>
      <c r="N31" s="348"/>
      <c r="O31" s="6"/>
    </row>
    <row r="32" spans="1:15" ht="15.6" x14ac:dyDescent="0.3">
      <c r="A32" s="340"/>
      <c r="B32" s="319" t="s">
        <v>16</v>
      </c>
      <c r="C32" s="349">
        <f>C30*C33</f>
        <v>65026.499999999993</v>
      </c>
      <c r="D32" s="350"/>
      <c r="E32" s="349">
        <f>E30*E33</f>
        <v>33853.461600000002</v>
      </c>
      <c r="F32" s="349"/>
      <c r="G32" s="349">
        <f>G30*G33</f>
        <v>21762.939600000002</v>
      </c>
      <c r="H32" s="351"/>
      <c r="I32" s="351"/>
      <c r="J32" s="351"/>
      <c r="K32" s="351"/>
      <c r="L32" s="352"/>
      <c r="M32" s="344">
        <f>C32+E32+G32</f>
        <v>120642.90119999999</v>
      </c>
      <c r="N32" s="348"/>
      <c r="O32" s="6"/>
    </row>
    <row r="33" spans="1:15" ht="15.6" x14ac:dyDescent="0.3">
      <c r="A33" s="340"/>
      <c r="B33" s="278" t="s">
        <v>174</v>
      </c>
      <c r="C33" s="371">
        <v>0.28149999999999997</v>
      </c>
      <c r="D33" s="372"/>
      <c r="E33" s="371">
        <v>0.80603480000000005</v>
      </c>
      <c r="F33" s="371"/>
      <c r="G33" s="371">
        <v>0.80603480000000005</v>
      </c>
      <c r="H33" s="373"/>
      <c r="I33" s="373"/>
      <c r="J33" s="351"/>
      <c r="K33" s="351"/>
      <c r="L33" s="352"/>
      <c r="M33" s="351"/>
      <c r="N33" s="348"/>
      <c r="O33" s="6"/>
    </row>
    <row r="34" spans="1:15" ht="15.6" x14ac:dyDescent="0.3">
      <c r="A34" s="340"/>
      <c r="B34" s="278" t="s">
        <v>175</v>
      </c>
      <c r="C34" s="371">
        <v>0.29420099999999999</v>
      </c>
      <c r="D34" s="372"/>
      <c r="E34" s="371">
        <v>0.84240219999999999</v>
      </c>
      <c r="F34" s="371"/>
      <c r="G34" s="371">
        <v>0.84240219999999999</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1.47581E-2</v>
      </c>
      <c r="D36" s="258"/>
      <c r="E36" s="356">
        <v>2.5758099999999999E-2</v>
      </c>
      <c r="F36" s="304"/>
      <c r="G36" s="356">
        <v>3.07581E-2</v>
      </c>
      <c r="H36" s="304"/>
      <c r="I36" s="356"/>
      <c r="J36" s="304"/>
      <c r="K36" s="356"/>
      <c r="L36" s="321"/>
      <c r="M36" s="304">
        <f>SUMPRODUCT(C36:G36,C31:G31)/M31</f>
        <v>2.0731058734063602E-2</v>
      </c>
      <c r="N36" s="264"/>
      <c r="O36" s="6"/>
    </row>
    <row r="37" spans="1:15" ht="15.6" x14ac:dyDescent="0.3">
      <c r="A37" s="307"/>
      <c r="B37" s="258" t="s">
        <v>19</v>
      </c>
      <c r="C37" s="356">
        <v>1.40763E-2</v>
      </c>
      <c r="D37" s="258"/>
      <c r="E37" s="356">
        <v>2.5076299999999999E-2</v>
      </c>
      <c r="F37" s="304"/>
      <c r="G37" s="356">
        <v>3.00763E-2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0.85528824709925977</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41044</v>
      </c>
      <c r="N47" s="264"/>
      <c r="O47" s="6"/>
    </row>
    <row r="48" spans="1:15" ht="15.6" x14ac:dyDescent="0.3">
      <c r="A48" s="307"/>
      <c r="B48" s="258" t="s">
        <v>26</v>
      </c>
      <c r="C48" s="258"/>
      <c r="D48" s="258"/>
      <c r="E48" s="258"/>
      <c r="F48" s="258"/>
      <c r="G48" s="258"/>
      <c r="H48" s="258"/>
      <c r="I48" s="258"/>
      <c r="J48" s="258">
        <f>M48-K48+1</f>
        <v>92</v>
      </c>
      <c r="K48" s="360">
        <v>40862</v>
      </c>
      <c r="L48" s="361"/>
      <c r="M48" s="360">
        <v>40953</v>
      </c>
      <c r="N48" s="264"/>
      <c r="O48" s="6"/>
    </row>
    <row r="49" spans="1:15" ht="15.6" x14ac:dyDescent="0.3">
      <c r="A49" s="307"/>
      <c r="B49" s="258" t="s">
        <v>27</v>
      </c>
      <c r="C49" s="258"/>
      <c r="D49" s="258"/>
      <c r="E49" s="258"/>
      <c r="F49" s="258"/>
      <c r="G49" s="258"/>
      <c r="H49" s="258"/>
      <c r="I49" s="258"/>
      <c r="J49" s="258">
        <f>M49-K49+1</f>
        <v>90</v>
      </c>
      <c r="K49" s="360">
        <v>40954</v>
      </c>
      <c r="L49" s="361"/>
      <c r="M49" s="360">
        <v>41043</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41030</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252</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126086</v>
      </c>
      <c r="F58" s="256"/>
      <c r="G58" s="256">
        <f>4371+1072</f>
        <v>5443</v>
      </c>
      <c r="H58" s="256"/>
      <c r="I58" s="256">
        <v>0</v>
      </c>
      <c r="J58" s="256"/>
      <c r="K58" s="256">
        <v>0</v>
      </c>
      <c r="L58" s="256"/>
      <c r="M58" s="260">
        <f>E58-G58+I58-K58</f>
        <v>120643</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126086</v>
      </c>
      <c r="F62" s="256"/>
      <c r="G62" s="256">
        <f>SUM(G58:G61)</f>
        <v>5443</v>
      </c>
      <c r="H62" s="256"/>
      <c r="I62" s="256">
        <f>SUM(I58:I61)</f>
        <v>0</v>
      </c>
      <c r="J62" s="256"/>
      <c r="K62" s="256">
        <f>SUM(K58:K61)</f>
        <v>0</v>
      </c>
      <c r="L62" s="256"/>
      <c r="M62" s="256">
        <f>SUM(M58:M61)</f>
        <v>120643</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126086</v>
      </c>
      <c r="F75" s="256"/>
      <c r="G75" s="256"/>
      <c r="H75" s="256"/>
      <c r="I75" s="256"/>
      <c r="J75" s="256"/>
      <c r="K75" s="256"/>
      <c r="L75" s="256"/>
      <c r="M75" s="256">
        <f>SUM(M62:M74)</f>
        <v>120643</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41029</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5443-1072</f>
        <v>4371</v>
      </c>
      <c r="L80" s="258"/>
      <c r="M80" s="260"/>
      <c r="N80" s="264"/>
      <c r="O80" s="6"/>
    </row>
    <row r="81" spans="1:16" ht="15.6" x14ac:dyDescent="0.3">
      <c r="A81" s="307"/>
      <c r="B81" s="258" t="s">
        <v>204</v>
      </c>
      <c r="C81" s="290"/>
      <c r="D81" s="325"/>
      <c r="E81" s="326"/>
      <c r="F81" s="258"/>
      <c r="G81" s="258"/>
      <c r="H81" s="258"/>
      <c r="I81" s="258"/>
      <c r="J81" s="258"/>
      <c r="K81" s="256"/>
      <c r="L81" s="258"/>
      <c r="M81" s="260">
        <f>5419+41-2450</f>
        <v>3010</v>
      </c>
      <c r="N81" s="264"/>
      <c r="O81" s="6"/>
    </row>
    <row r="82" spans="1:16" ht="15.6" x14ac:dyDescent="0.3">
      <c r="A82" s="307"/>
      <c r="B82" s="258" t="s">
        <v>205</v>
      </c>
      <c r="C82" s="290"/>
      <c r="D82" s="325"/>
      <c r="E82" s="326"/>
      <c r="F82" s="258"/>
      <c r="G82" s="258"/>
      <c r="H82" s="258"/>
      <c r="I82" s="258"/>
      <c r="J82" s="258"/>
      <c r="K82" s="256"/>
      <c r="L82" s="258"/>
      <c r="M82" s="260">
        <v>128</v>
      </c>
      <c r="N82" s="264"/>
      <c r="O82" s="6"/>
    </row>
    <row r="83" spans="1:16" ht="15.6" x14ac:dyDescent="0.3">
      <c r="A83" s="307"/>
      <c r="B83" s="258" t="s">
        <v>206</v>
      </c>
      <c r="C83" s="290"/>
      <c r="D83" s="325"/>
      <c r="E83" s="326"/>
      <c r="F83" s="258"/>
      <c r="G83" s="258"/>
      <c r="H83" s="258"/>
      <c r="I83" s="258"/>
      <c r="J83" s="258"/>
      <c r="K83" s="256"/>
      <c r="L83" s="258"/>
      <c r="M83" s="260">
        <v>39</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4371</v>
      </c>
      <c r="L85" s="258"/>
      <c r="M85" s="256">
        <f>SUM(M79:M84)</f>
        <v>3177</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4371</v>
      </c>
      <c r="L87" s="258"/>
      <c r="M87" s="256">
        <f>M85+M86</f>
        <v>3177</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-47-57-2</f>
        <v>-106</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-247</v>
      </c>
      <c r="N93" s="311"/>
      <c r="O93" s="6"/>
    </row>
    <row r="94" spans="1:16" ht="15.6" x14ac:dyDescent="0.3">
      <c r="A94" s="255">
        <v>5</v>
      </c>
      <c r="B94" s="258" t="s">
        <v>52</v>
      </c>
      <c r="C94" s="258"/>
      <c r="D94" s="258"/>
      <c r="E94" s="258"/>
      <c r="F94" s="258"/>
      <c r="G94" s="258"/>
      <c r="H94" s="258"/>
      <c r="I94" s="258"/>
      <c r="J94" s="258"/>
      <c r="K94" s="258"/>
      <c r="L94" s="258"/>
      <c r="M94" s="260">
        <v>-224</v>
      </c>
      <c r="N94" s="311"/>
      <c r="O94" s="6"/>
    </row>
    <row r="95" spans="1:16" ht="15.6" x14ac:dyDescent="0.3">
      <c r="A95" s="255">
        <v>6</v>
      </c>
      <c r="B95" s="258" t="s">
        <v>172</v>
      </c>
      <c r="C95" s="258"/>
      <c r="D95" s="258"/>
      <c r="E95" s="258"/>
      <c r="F95" s="258"/>
      <c r="G95" s="258"/>
      <c r="H95" s="258"/>
      <c r="I95" s="258"/>
      <c r="J95" s="258"/>
      <c r="K95" s="258"/>
      <c r="L95" s="258"/>
      <c r="M95" s="260">
        <v>-172</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1072</v>
      </c>
      <c r="L97" s="258"/>
      <c r="M97" s="260">
        <v>-1072</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-46</v>
      </c>
      <c r="N101" s="311"/>
      <c r="O101" s="6"/>
    </row>
    <row r="102" spans="1:16" ht="15.6" x14ac:dyDescent="0.3">
      <c r="A102" s="255">
        <v>13</v>
      </c>
      <c r="B102" s="258" t="s">
        <v>195</v>
      </c>
      <c r="C102" s="258"/>
      <c r="D102" s="258"/>
      <c r="E102" s="258"/>
      <c r="F102" s="258"/>
      <c r="G102" s="258"/>
      <c r="H102" s="258"/>
      <c r="I102" s="258"/>
      <c r="J102" s="258"/>
      <c r="K102" s="258"/>
      <c r="L102" s="258"/>
      <c r="M102" s="260">
        <f>-M87-SUM(M89:M101)</f>
        <v>-1301</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-2934</v>
      </c>
      <c r="L107" s="256"/>
      <c r="M107" s="260"/>
      <c r="N107" s="311"/>
      <c r="O107" s="6"/>
    </row>
    <row r="108" spans="1:16" ht="15.6" x14ac:dyDescent="0.3">
      <c r="A108" s="307"/>
      <c r="B108" s="258" t="s">
        <v>59</v>
      </c>
      <c r="C108" s="258"/>
      <c r="D108" s="258"/>
      <c r="E108" s="258"/>
      <c r="F108" s="258"/>
      <c r="G108" s="258"/>
      <c r="H108" s="258"/>
      <c r="I108" s="258"/>
      <c r="J108" s="258"/>
      <c r="K108" s="256">
        <v>-1527</v>
      </c>
      <c r="L108" s="256"/>
      <c r="M108" s="260"/>
      <c r="N108" s="311"/>
      <c r="O108" s="6"/>
    </row>
    <row r="109" spans="1:16" ht="15.6" x14ac:dyDescent="0.3">
      <c r="A109" s="307"/>
      <c r="B109" s="258" t="s">
        <v>186</v>
      </c>
      <c r="C109" s="258"/>
      <c r="D109" s="258"/>
      <c r="E109" s="258"/>
      <c r="F109" s="258"/>
      <c r="G109" s="258"/>
      <c r="H109" s="258"/>
      <c r="I109" s="258"/>
      <c r="J109" s="258"/>
      <c r="K109" s="256">
        <v>-982</v>
      </c>
      <c r="L109" s="256"/>
      <c r="M109" s="260"/>
      <c r="N109" s="311"/>
      <c r="O109" s="6"/>
    </row>
    <row r="110" spans="1:16" ht="15.6" x14ac:dyDescent="0.3">
      <c r="A110" s="307"/>
      <c r="B110" s="258" t="s">
        <v>60</v>
      </c>
      <c r="C110" s="258"/>
      <c r="D110" s="258"/>
      <c r="E110" s="258"/>
      <c r="F110" s="258"/>
      <c r="G110" s="258"/>
      <c r="H110" s="258"/>
      <c r="I110" s="258"/>
      <c r="J110" s="258"/>
      <c r="K110" s="256">
        <f>+K105+K106+K107+K108+K109</f>
        <v>-5443</v>
      </c>
      <c r="L110" s="256"/>
      <c r="M110" s="256">
        <f>SUM(M88:M109)</f>
        <v>-3177</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APRIL 2012</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490</v>
      </c>
      <c r="N137" s="264"/>
      <c r="O137" s="6"/>
    </row>
    <row r="138" spans="1:15" ht="15.6" x14ac:dyDescent="0.3">
      <c r="A138" s="307"/>
      <c r="B138" s="258" t="s">
        <v>180</v>
      </c>
      <c r="C138" s="258"/>
      <c r="D138" s="258"/>
      <c r="E138" s="258"/>
      <c r="F138" s="258"/>
      <c r="G138" s="258"/>
      <c r="H138" s="258"/>
      <c r="I138" s="258"/>
      <c r="J138" s="258"/>
      <c r="K138" s="258"/>
      <c r="L138" s="258"/>
      <c r="M138" s="260">
        <f>551+31</f>
        <v>582</v>
      </c>
      <c r="N138" s="264"/>
      <c r="O138" s="6"/>
    </row>
    <row r="139" spans="1:15" ht="15.6" x14ac:dyDescent="0.3">
      <c r="A139" s="307"/>
      <c r="B139" s="258" t="s">
        <v>77</v>
      </c>
      <c r="C139" s="258"/>
      <c r="D139" s="258"/>
      <c r="E139" s="258"/>
      <c r="F139" s="258"/>
      <c r="G139" s="258"/>
      <c r="H139" s="258"/>
      <c r="I139" s="258"/>
      <c r="J139" s="258"/>
      <c r="K139" s="258"/>
      <c r="L139" s="258"/>
      <c r="M139" s="260">
        <f>M137+M136+M138</f>
        <v>1072</v>
      </c>
      <c r="N139" s="264"/>
      <c r="O139" s="6"/>
    </row>
    <row r="140" spans="1:15" ht="15.6" x14ac:dyDescent="0.3">
      <c r="A140" s="307"/>
      <c r="B140" s="258" t="s">
        <v>183</v>
      </c>
      <c r="C140" s="258"/>
      <c r="D140" s="258"/>
      <c r="E140" s="258"/>
      <c r="F140" s="258"/>
      <c r="G140" s="258"/>
      <c r="H140" s="258"/>
      <c r="I140" s="303"/>
      <c r="J140" s="258"/>
      <c r="K140" s="258"/>
      <c r="L140" s="258"/>
      <c r="M140" s="260">
        <f>M97</f>
        <v>-1072</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120643</v>
      </c>
      <c r="N146" s="318"/>
      <c r="O146" s="6"/>
      <c r="P146" s="117"/>
    </row>
    <row r="147" spans="1:16" ht="15.6" x14ac:dyDescent="0.3">
      <c r="A147" s="307"/>
      <c r="B147" s="258" t="s">
        <v>80</v>
      </c>
      <c r="C147" s="319"/>
      <c r="D147" s="319"/>
      <c r="E147" s="258"/>
      <c r="F147" s="258"/>
      <c r="G147" s="258"/>
      <c r="H147" s="258"/>
      <c r="I147" s="258"/>
      <c r="J147" s="258"/>
      <c r="K147" s="258"/>
      <c r="L147" s="258"/>
      <c r="M147" s="260">
        <f>M75</f>
        <v>120643</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+'Jan 12'!I154</f>
        <v>7636</v>
      </c>
      <c r="J152" s="258"/>
      <c r="K152" s="260">
        <v>0</v>
      </c>
      <c r="L152" s="258"/>
      <c r="M152" s="260">
        <f>K152+I152</f>
        <v>7636</v>
      </c>
      <c r="N152" s="311"/>
      <c r="O152" s="6"/>
    </row>
    <row r="153" spans="1:16" ht="15.6" x14ac:dyDescent="0.3">
      <c r="A153" s="307"/>
      <c r="B153" s="258" t="s">
        <v>84</v>
      </c>
      <c r="C153" s="258"/>
      <c r="D153" s="258"/>
      <c r="E153" s="258"/>
      <c r="F153" s="258"/>
      <c r="G153" s="258"/>
      <c r="H153" s="258"/>
      <c r="I153" s="256">
        <v>0</v>
      </c>
      <c r="J153" s="258"/>
      <c r="K153" s="258">
        <v>0</v>
      </c>
      <c r="L153" s="258"/>
      <c r="M153" s="260">
        <f>K153+I153</f>
        <v>0</v>
      </c>
      <c r="N153" s="311"/>
      <c r="O153" s="6"/>
    </row>
    <row r="154" spans="1:16" ht="15.6" x14ac:dyDescent="0.3">
      <c r="A154" s="307"/>
      <c r="B154" s="258" t="s">
        <v>85</v>
      </c>
      <c r="C154" s="258"/>
      <c r="D154" s="258"/>
      <c r="E154" s="258"/>
      <c r="F154" s="258"/>
      <c r="G154" s="258"/>
      <c r="H154" s="258"/>
      <c r="I154" s="260">
        <f>I152+I153</f>
        <v>7636</v>
      </c>
      <c r="J154" s="258"/>
      <c r="K154" s="260">
        <f>K153+K152</f>
        <v>0</v>
      </c>
      <c r="L154" s="258"/>
      <c r="M154" s="260">
        <f>K154+I154</f>
        <v>7636</v>
      </c>
      <c r="N154" s="311"/>
      <c r="O154" s="6"/>
    </row>
    <row r="155" spans="1:16" ht="15.6" x14ac:dyDescent="0.3">
      <c r="A155" s="307"/>
      <c r="B155" s="258" t="s">
        <v>86</v>
      </c>
      <c r="C155" s="258"/>
      <c r="D155" s="258"/>
      <c r="E155" s="258"/>
      <c r="F155" s="258"/>
      <c r="G155" s="258"/>
      <c r="H155" s="258"/>
      <c r="I155" s="260">
        <f>I151-I154-K154</f>
        <v>7364</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12.425101214574898</v>
      </c>
      <c r="N159" s="264" t="s">
        <v>145</v>
      </c>
      <c r="O159" s="6"/>
    </row>
    <row r="160" spans="1:16" ht="15.6" x14ac:dyDescent="0.3">
      <c r="A160" s="307"/>
      <c r="B160" s="258" t="s">
        <v>89</v>
      </c>
      <c r="C160" s="258"/>
      <c r="D160" s="258"/>
      <c r="E160" s="258"/>
      <c r="F160" s="258"/>
      <c r="G160" s="258"/>
      <c r="H160" s="258"/>
      <c r="I160" s="258"/>
      <c r="J160" s="258"/>
      <c r="K160" s="258"/>
      <c r="L160" s="258"/>
      <c r="M160" s="309">
        <v>3.22</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12.598214285714286</v>
      </c>
      <c r="N161" s="264" t="s">
        <v>145</v>
      </c>
      <c r="O161" s="6"/>
    </row>
    <row r="162" spans="1:15" ht="15.6" x14ac:dyDescent="0.3">
      <c r="A162" s="307"/>
      <c r="B162" s="258" t="s">
        <v>91</v>
      </c>
      <c r="C162" s="258"/>
      <c r="D162" s="258"/>
      <c r="E162" s="258"/>
      <c r="F162" s="258"/>
      <c r="G162" s="258"/>
      <c r="H162" s="258"/>
      <c r="I162" s="258"/>
      <c r="J162" s="258"/>
      <c r="K162" s="258"/>
      <c r="L162" s="258"/>
      <c r="M162" s="310">
        <v>9.17</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15.104651162790697</v>
      </c>
      <c r="N163" s="264" t="s">
        <v>145</v>
      </c>
      <c r="O163" s="6"/>
    </row>
    <row r="164" spans="1:15" ht="15.6" x14ac:dyDescent="0.3">
      <c r="A164" s="307"/>
      <c r="B164" s="258" t="s">
        <v>182</v>
      </c>
      <c r="C164" s="258"/>
      <c r="D164" s="258"/>
      <c r="E164" s="258"/>
      <c r="F164" s="258"/>
      <c r="G164" s="258"/>
      <c r="H164" s="258"/>
      <c r="I164" s="258"/>
      <c r="J164" s="258"/>
      <c r="K164" s="258"/>
      <c r="L164" s="258"/>
      <c r="M164" s="310">
        <v>11.82</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APRIL 2012</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v>41029</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9.5699999999999993E-2</v>
      </c>
      <c r="L174" s="258"/>
      <c r="M174" s="258"/>
      <c r="N174" s="264"/>
      <c r="O174" s="6"/>
    </row>
    <row r="175" spans="1:15" ht="15.6" x14ac:dyDescent="0.3">
      <c r="A175" s="301"/>
      <c r="B175" s="258" t="s">
        <v>97</v>
      </c>
      <c r="C175" s="302"/>
      <c r="D175" s="302"/>
      <c r="E175" s="302"/>
      <c r="F175" s="302"/>
      <c r="G175" s="302"/>
      <c r="H175" s="303"/>
      <c r="I175" s="303"/>
      <c r="J175" s="303"/>
      <c r="K175" s="304">
        <f>M36</f>
        <v>2.0731058734063602E-2</v>
      </c>
      <c r="L175" s="258"/>
      <c r="M175" s="258"/>
      <c r="N175" s="264"/>
      <c r="O175" s="6"/>
    </row>
    <row r="176" spans="1:15" ht="15.6" x14ac:dyDescent="0.3">
      <c r="A176" s="301"/>
      <c r="B176" s="258" t="s">
        <v>98</v>
      </c>
      <c r="C176" s="302"/>
      <c r="D176" s="302"/>
      <c r="E176" s="302"/>
      <c r="F176" s="302"/>
      <c r="G176" s="302"/>
      <c r="H176" s="303"/>
      <c r="I176" s="303"/>
      <c r="J176" s="303"/>
      <c r="K176" s="304">
        <f>K174-K175</f>
        <v>7.4968941265936395E-2</v>
      </c>
      <c r="L176" s="258"/>
      <c r="M176" s="258"/>
      <c r="N176" s="264"/>
      <c r="O176" s="6"/>
    </row>
    <row r="177" spans="1:15" ht="15.6" x14ac:dyDescent="0.3">
      <c r="A177" s="301"/>
      <c r="B177" s="258" t="s">
        <v>211</v>
      </c>
      <c r="C177" s="302"/>
      <c r="D177" s="302"/>
      <c r="E177" s="302"/>
      <c r="F177" s="302"/>
      <c r="G177" s="302"/>
      <c r="H177" s="303"/>
      <c r="I177" s="303"/>
      <c r="J177" s="303"/>
      <c r="K177" s="304">
        <f>(+M87+M89)/E58</f>
        <v>2.5197087702044638E-2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12.91</v>
      </c>
      <c r="L182" s="258" t="s">
        <v>139</v>
      </c>
      <c r="M182" s="258"/>
      <c r="N182" s="264"/>
      <c r="O182" s="6"/>
    </row>
    <row r="183" spans="1:15" ht="15.6" x14ac:dyDescent="0.3">
      <c r="A183" s="301"/>
      <c r="B183" s="258" t="s">
        <v>103</v>
      </c>
      <c r="C183" s="302"/>
      <c r="D183" s="302"/>
      <c r="E183" s="302"/>
      <c r="F183" s="302"/>
      <c r="G183" s="302"/>
      <c r="H183" s="303"/>
      <c r="I183" s="303"/>
      <c r="J183" s="303"/>
      <c r="K183" s="304">
        <f>K80/E58</f>
        <v>3.4666814713766793E-2</v>
      </c>
      <c r="L183" s="258"/>
      <c r="M183" s="258"/>
      <c r="N183" s="264"/>
      <c r="O183" s="6"/>
    </row>
    <row r="184" spans="1:15" ht="15.6" x14ac:dyDescent="0.3">
      <c r="A184" s="301"/>
      <c r="B184" s="258" t="s">
        <v>104</v>
      </c>
      <c r="C184" s="302"/>
      <c r="D184" s="302"/>
      <c r="E184" s="302"/>
      <c r="F184" s="302"/>
      <c r="G184" s="302"/>
      <c r="H184" s="303"/>
      <c r="I184" s="303"/>
      <c r="J184" s="303"/>
      <c r="K184" s="304">
        <v>0.26179999999999998</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787</v>
      </c>
      <c r="K187" s="369">
        <v>19449</v>
      </c>
      <c r="L187" s="217"/>
      <c r="M187" s="229"/>
      <c r="N187" s="230"/>
      <c r="O187" s="6"/>
    </row>
    <row r="188" spans="1:15" ht="15.6" x14ac:dyDescent="0.3">
      <c r="A188" s="275"/>
      <c r="B188" s="258" t="s">
        <v>196</v>
      </c>
      <c r="C188" s="256"/>
      <c r="D188" s="256"/>
      <c r="E188" s="256"/>
      <c r="F188" s="256"/>
      <c r="G188" s="258"/>
      <c r="H188" s="258"/>
      <c r="I188" s="258"/>
      <c r="J188" s="276">
        <v>0</v>
      </c>
      <c r="K188" s="277">
        <v>0</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0</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58" t="s">
        <v>110</v>
      </c>
      <c r="C192" s="256"/>
      <c r="D192" s="256"/>
      <c r="E192" s="258"/>
      <c r="F192" s="258"/>
      <c r="G192" s="258"/>
      <c r="H192" s="258"/>
      <c r="I192" s="258"/>
      <c r="J192" s="258"/>
      <c r="K192" s="277">
        <f>+M139</f>
        <v>1072</v>
      </c>
      <c r="L192" s="258"/>
      <c r="M192" s="281"/>
      <c r="N192" s="286"/>
      <c r="O192" s="6"/>
    </row>
    <row r="193" spans="1:15" ht="15.6" x14ac:dyDescent="0.3">
      <c r="A193" s="275"/>
      <c r="B193" s="258" t="s">
        <v>111</v>
      </c>
      <c r="C193" s="256"/>
      <c r="D193" s="256"/>
      <c r="E193" s="256"/>
      <c r="F193" s="256"/>
      <c r="G193" s="256"/>
      <c r="H193" s="258"/>
      <c r="I193" s="258"/>
      <c r="J193" s="258"/>
      <c r="K193" s="277">
        <f>'Jan 12'!K193+'April 12'!K192</f>
        <v>30188</v>
      </c>
      <c r="L193" s="258"/>
      <c r="M193" s="281"/>
      <c r="N193" s="286"/>
      <c r="O193" s="6"/>
    </row>
    <row r="194" spans="1:15" ht="15.6" x14ac:dyDescent="0.3">
      <c r="A194" s="275"/>
      <c r="B194" s="258" t="s">
        <v>112</v>
      </c>
      <c r="C194" s="256"/>
      <c r="D194" s="256"/>
      <c r="E194" s="256"/>
      <c r="F194" s="256"/>
      <c r="G194" s="256"/>
      <c r="H194" s="258"/>
      <c r="I194" s="258"/>
      <c r="J194" s="258"/>
      <c r="K194" s="277">
        <f>'Jan 12'!K194+383</f>
        <v>8060</v>
      </c>
      <c r="L194" s="258"/>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0</v>
      </c>
      <c r="L196" s="258"/>
      <c r="M196" s="261"/>
      <c r="N196" s="286"/>
      <c r="O196" s="6"/>
    </row>
    <row r="197" spans="1:15" ht="15.6" x14ac:dyDescent="0.3">
      <c r="A197" s="275"/>
      <c r="B197" s="258" t="s">
        <v>113</v>
      </c>
      <c r="C197" s="256"/>
      <c r="D197" s="256"/>
      <c r="E197" s="290"/>
      <c r="F197" s="290"/>
      <c r="G197" s="291"/>
      <c r="H197" s="258"/>
      <c r="I197" s="258"/>
      <c r="J197" s="258"/>
      <c r="K197" s="292">
        <v>0</v>
      </c>
      <c r="L197" s="258"/>
      <c r="M197" s="261"/>
      <c r="N197" s="286"/>
      <c r="O197" s="6"/>
    </row>
    <row r="198" spans="1:15" ht="15.6" x14ac:dyDescent="0.3">
      <c r="A198" s="275"/>
      <c r="B198" s="258" t="s">
        <v>114</v>
      </c>
      <c r="C198" s="256"/>
      <c r="D198" s="256"/>
      <c r="E198" s="290"/>
      <c r="F198" s="290"/>
      <c r="G198" s="291"/>
      <c r="H198" s="258"/>
      <c r="I198" s="258"/>
      <c r="J198" s="258"/>
      <c r="K198" s="292">
        <v>0</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4568</v>
      </c>
      <c r="J203" s="232">
        <f>I203/I212</f>
        <v>0.85303454715219418</v>
      </c>
      <c r="K203" s="221">
        <v>101194</v>
      </c>
      <c r="L203" s="232">
        <f>K203/K212</f>
        <v>0.83878882322223425</v>
      </c>
      <c r="M203" s="228"/>
      <c r="N203" s="218"/>
      <c r="O203" s="6"/>
    </row>
    <row r="204" spans="1:15" ht="15.6" x14ac:dyDescent="0.3">
      <c r="A204" s="255"/>
      <c r="B204" s="256" t="s">
        <v>117</v>
      </c>
      <c r="C204" s="257"/>
      <c r="D204" s="257"/>
      <c r="E204" s="256"/>
      <c r="F204" s="257"/>
      <c r="G204" s="258"/>
      <c r="H204" s="259"/>
      <c r="I204" s="256">
        <v>188</v>
      </c>
      <c r="J204" s="259">
        <f>I204/I212</f>
        <v>3.5107376283846872E-2</v>
      </c>
      <c r="K204" s="260">
        <v>4389</v>
      </c>
      <c r="L204" s="259">
        <f>K204/K212</f>
        <v>3.6380063493116052E-2</v>
      </c>
      <c r="M204" s="261"/>
      <c r="N204" s="263"/>
      <c r="O204" s="6"/>
    </row>
    <row r="205" spans="1:15" ht="15.6" x14ac:dyDescent="0.3">
      <c r="A205" s="255"/>
      <c r="B205" s="256" t="s">
        <v>118</v>
      </c>
      <c r="C205" s="257"/>
      <c r="D205" s="257"/>
      <c r="E205" s="256"/>
      <c r="F205" s="257"/>
      <c r="G205" s="258"/>
      <c r="H205" s="259"/>
      <c r="I205" s="256">
        <v>125</v>
      </c>
      <c r="J205" s="259">
        <f>I205/I212</f>
        <v>2.3342670401493931E-2</v>
      </c>
      <c r="K205" s="260">
        <v>3175</v>
      </c>
      <c r="L205" s="259">
        <f>K205/K212</f>
        <v>2.6317316379731937E-2</v>
      </c>
      <c r="M205" s="261"/>
      <c r="N205" s="263"/>
      <c r="O205" s="6"/>
    </row>
    <row r="206" spans="1:15" ht="15.6" x14ac:dyDescent="0.3">
      <c r="A206" s="255"/>
      <c r="B206" s="256" t="s">
        <v>167</v>
      </c>
      <c r="C206" s="257"/>
      <c r="D206" s="257"/>
      <c r="E206" s="256"/>
      <c r="F206" s="257"/>
      <c r="G206" s="258"/>
      <c r="H206" s="259"/>
      <c r="I206" s="256">
        <v>89</v>
      </c>
      <c r="J206" s="259">
        <f>I206/I212</f>
        <v>1.6619981325863679E-2</v>
      </c>
      <c r="K206" s="260">
        <v>2072</v>
      </c>
      <c r="L206" s="259">
        <f>K206/K212</f>
        <v>1.7174639224820338E-2</v>
      </c>
      <c r="M206" s="261"/>
      <c r="N206" s="262"/>
      <c r="O206" s="6"/>
    </row>
    <row r="207" spans="1:15" ht="15.6" x14ac:dyDescent="0.3">
      <c r="A207" s="255"/>
      <c r="B207" s="256" t="s">
        <v>168</v>
      </c>
      <c r="C207" s="257"/>
      <c r="D207" s="257"/>
      <c r="E207" s="256"/>
      <c r="F207" s="257"/>
      <c r="G207" s="258"/>
      <c r="H207" s="259"/>
      <c r="I207" s="256">
        <v>92</v>
      </c>
      <c r="J207" s="259">
        <f>I207/I212</f>
        <v>1.7180205415499535E-2</v>
      </c>
      <c r="K207" s="260">
        <v>2235</v>
      </c>
      <c r="L207" s="259">
        <f>K207/K212</f>
        <v>1.8525732947622324E-2</v>
      </c>
      <c r="M207" s="374"/>
      <c r="N207" s="262"/>
      <c r="O207" s="6"/>
    </row>
    <row r="208" spans="1:15" ht="15.6" x14ac:dyDescent="0.3">
      <c r="A208" s="255"/>
      <c r="B208" s="256" t="s">
        <v>169</v>
      </c>
      <c r="C208" s="257"/>
      <c r="D208" s="257"/>
      <c r="E208" s="256"/>
      <c r="F208" s="257"/>
      <c r="G208" s="258"/>
      <c r="H208" s="259"/>
      <c r="I208" s="256">
        <v>62</v>
      </c>
      <c r="J208" s="259">
        <f>I208/I212</f>
        <v>1.157796451914099E-2</v>
      </c>
      <c r="K208" s="260">
        <v>1571</v>
      </c>
      <c r="L208" s="259">
        <f>K208/K212</f>
        <v>1.302189103387681E-2</v>
      </c>
      <c r="M208" s="261"/>
      <c r="N208" s="262"/>
      <c r="O208" s="6"/>
    </row>
    <row r="209" spans="1:15" ht="15.6" x14ac:dyDescent="0.3">
      <c r="A209" s="255"/>
      <c r="B209" s="256" t="s">
        <v>176</v>
      </c>
      <c r="C209" s="257"/>
      <c r="D209" s="257"/>
      <c r="E209" s="256"/>
      <c r="F209" s="257"/>
      <c r="G209" s="258"/>
      <c r="H209" s="259"/>
      <c r="I209" s="256">
        <v>144</v>
      </c>
      <c r="J209" s="259">
        <f>I209/I212</f>
        <v>2.689075630252101E-2</v>
      </c>
      <c r="K209" s="260">
        <v>3757</v>
      </c>
      <c r="L209" s="259">
        <f>K209/K212</f>
        <v>3.1141466972804059E-2</v>
      </c>
      <c r="M209" s="261"/>
      <c r="N209" s="263"/>
      <c r="O209" s="6"/>
    </row>
    <row r="210" spans="1:15" ht="15.6" x14ac:dyDescent="0.3">
      <c r="A210" s="255"/>
      <c r="B210" s="256" t="s">
        <v>202</v>
      </c>
      <c r="C210" s="257"/>
      <c r="D210" s="257"/>
      <c r="E210" s="256"/>
      <c r="F210" s="257"/>
      <c r="G210" s="258"/>
      <c r="H210" s="259"/>
      <c r="I210" s="256">
        <v>87</v>
      </c>
      <c r="J210" s="259">
        <f>+I210/I212</f>
        <v>1.6246498599439777E-2</v>
      </c>
      <c r="K210" s="260">
        <v>2250</v>
      </c>
      <c r="L210" s="259">
        <f>+K210/K212</f>
        <v>1.8650066725794286E-2</v>
      </c>
      <c r="M210" s="261"/>
      <c r="N210" s="263"/>
      <c r="O210" s="6"/>
    </row>
    <row r="211" spans="1:15" ht="15.6" x14ac:dyDescent="0.3">
      <c r="A211" s="255"/>
      <c r="B211" s="256" t="s">
        <v>170</v>
      </c>
      <c r="C211" s="257"/>
      <c r="D211" s="257"/>
      <c r="E211" s="256"/>
      <c r="F211" s="257"/>
      <c r="G211" s="256"/>
      <c r="H211" s="259"/>
      <c r="I211" s="256">
        <v>0</v>
      </c>
      <c r="J211" s="259">
        <f>I211/I212</f>
        <v>0</v>
      </c>
      <c r="K211" s="260">
        <v>0</v>
      </c>
      <c r="L211" s="259">
        <f>+K211/K212</f>
        <v>0</v>
      </c>
      <c r="M211" s="261"/>
      <c r="N211" s="263"/>
      <c r="O211" s="6"/>
    </row>
    <row r="212" spans="1:15" ht="15.6" x14ac:dyDescent="0.3">
      <c r="A212" s="255"/>
      <c r="B212" s="258" t="s">
        <v>189</v>
      </c>
      <c r="C212" s="258"/>
      <c r="D212" s="258"/>
      <c r="E212" s="258"/>
      <c r="F212" s="258"/>
      <c r="G212" s="256"/>
      <c r="H212" s="258"/>
      <c r="I212" s="256">
        <f>SUM(I203:I211)</f>
        <v>5355</v>
      </c>
      <c r="J212" s="259">
        <f>SUM(J203:J211)</f>
        <v>1</v>
      </c>
      <c r="K212" s="260">
        <f>SUM(K203:K211)</f>
        <v>120643</v>
      </c>
      <c r="L212" s="259">
        <f>SUM(L203:L211)</f>
        <v>1</v>
      </c>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1.0038</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APRIL 2012</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hyperlinks>
    <hyperlink ref="I10" r:id="rId1" xr:uid="{00000000-0004-0000-1C00-000000000000}"/>
    <hyperlink ref="K200" r:id="rId2" xr:uid="{00000000-0004-0000-1C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9CB31"/>
  </sheetPr>
  <dimension ref="A1:P224"/>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38678</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4.7862500000000002E-2</v>
      </c>
      <c r="D36" s="27"/>
      <c r="E36" s="41">
        <v>5.33625E-2</v>
      </c>
      <c r="F36" s="42"/>
      <c r="G36" s="41">
        <v>5.5862500000000002E-2</v>
      </c>
      <c r="H36" s="42"/>
      <c r="I36" s="41"/>
      <c r="J36" s="42"/>
      <c r="K36" s="41"/>
      <c r="L36" s="142"/>
      <c r="M36" s="42">
        <f>SUMPRODUCT(C36:G36,C31:G31)/M31</f>
        <v>4.9352500000000007E-2</v>
      </c>
      <c r="N36" s="27"/>
      <c r="O36" s="6"/>
    </row>
    <row r="37" spans="1:15" ht="15.6" x14ac:dyDescent="0.3">
      <c r="A37" s="26"/>
      <c r="B37" s="27" t="s">
        <v>19</v>
      </c>
      <c r="C37" s="41">
        <v>5.0756299999999997E-2</v>
      </c>
      <c r="D37" s="27"/>
      <c r="E37" s="41">
        <v>5.6256300000000002E-2</v>
      </c>
      <c r="F37" s="42"/>
      <c r="G37" s="41">
        <v>5.8756299999999997E-2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27"/>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38671</v>
      </c>
      <c r="N47" s="27"/>
      <c r="O47" s="6"/>
    </row>
    <row r="48" spans="1:15" ht="15.6" x14ac:dyDescent="0.3">
      <c r="A48" s="26"/>
      <c r="B48" s="27" t="s">
        <v>26</v>
      </c>
      <c r="C48" s="27"/>
      <c r="D48" s="27"/>
      <c r="E48" s="27"/>
      <c r="F48" s="27"/>
      <c r="G48" s="27"/>
      <c r="H48" s="27"/>
      <c r="I48" s="27"/>
      <c r="J48" s="27">
        <f>M48-K48+1</f>
        <v>91</v>
      </c>
      <c r="K48" s="48">
        <v>38488</v>
      </c>
      <c r="L48" s="49"/>
      <c r="M48" s="48">
        <v>38578</v>
      </c>
      <c r="N48" s="27"/>
      <c r="O48" s="6"/>
    </row>
    <row r="49" spans="1:15" ht="15.6" x14ac:dyDescent="0.3">
      <c r="A49" s="26"/>
      <c r="B49" s="27" t="s">
        <v>27</v>
      </c>
      <c r="C49" s="27"/>
      <c r="D49" s="27"/>
      <c r="E49" s="27"/>
      <c r="F49" s="27"/>
      <c r="G49" s="27"/>
      <c r="H49" s="27"/>
      <c r="I49" s="27"/>
      <c r="J49" s="27">
        <f>M49-K49+1</f>
        <v>92</v>
      </c>
      <c r="K49" s="48">
        <v>38579</v>
      </c>
      <c r="L49" s="49"/>
      <c r="M49" s="48">
        <v>38670</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38657</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201</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269657</v>
      </c>
      <c r="F59" s="37"/>
      <c r="G59" s="37">
        <f>30438+3162+570+491+3</f>
        <v>34664</v>
      </c>
      <c r="H59" s="37"/>
      <c r="I59" s="37">
        <f>555+25947</f>
        <v>26502</v>
      </c>
      <c r="J59" s="37"/>
      <c r="K59" s="37">
        <v>0</v>
      </c>
      <c r="L59" s="37"/>
      <c r="M59" s="56">
        <f>E59-G59+I59-K59</f>
        <v>261495</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269657</v>
      </c>
      <c r="F63" s="37"/>
      <c r="G63" s="37">
        <f>SUM(G59:G62)</f>
        <v>34664</v>
      </c>
      <c r="H63" s="37"/>
      <c r="I63" s="37">
        <f>SUM(I59:I62)</f>
        <v>26502</v>
      </c>
      <c r="J63" s="37"/>
      <c r="K63" s="37">
        <f>SUM(K59:K62)</f>
        <v>0</v>
      </c>
      <c r="L63" s="37"/>
      <c r="M63" s="57">
        <f>SUM(M59:M62)</f>
        <v>261495</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v>0</v>
      </c>
      <c r="J73" s="37"/>
      <c r="K73" s="37"/>
      <c r="L73" s="37"/>
      <c r="M73" s="57">
        <f>+E73+I73</f>
        <v>0</v>
      </c>
      <c r="N73" s="27"/>
      <c r="O73" s="6"/>
    </row>
    <row r="74" spans="1:16" ht="15.6" x14ac:dyDescent="0.3">
      <c r="A74" s="26"/>
      <c r="B74" s="27" t="s">
        <v>171</v>
      </c>
      <c r="C74" s="37">
        <v>0</v>
      </c>
      <c r="D74" s="37"/>
      <c r="E74" s="37">
        <v>30343</v>
      </c>
      <c r="F74" s="37"/>
      <c r="G74" s="37"/>
      <c r="H74" s="37"/>
      <c r="I74" s="37"/>
      <c r="J74" s="37"/>
      <c r="K74" s="37"/>
      <c r="L74" s="37"/>
      <c r="M74" s="57">
        <f>K110-M73</f>
        <v>38505</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6"/>
      <c r="D79" s="16"/>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+'July 2005'!K110</f>
        <v>30343</v>
      </c>
      <c r="L80" s="27"/>
      <c r="M80" s="56">
        <v>0</v>
      </c>
      <c r="N80" s="27"/>
      <c r="O80" s="6"/>
    </row>
    <row r="81" spans="1:16" ht="15.6" x14ac:dyDescent="0.3">
      <c r="A81" s="26"/>
      <c r="B81" s="27" t="s">
        <v>42</v>
      </c>
      <c r="C81" s="43" t="s">
        <v>120</v>
      </c>
      <c r="D81" s="60">
        <v>38656</v>
      </c>
      <c r="E81" s="61"/>
      <c r="F81" s="27"/>
      <c r="G81" s="27"/>
      <c r="H81" s="27"/>
      <c r="I81" s="27"/>
      <c r="J81" s="27"/>
      <c r="K81" s="37">
        <f>34664-491</f>
        <v>34173</v>
      </c>
      <c r="L81" s="27"/>
      <c r="M81" s="56"/>
      <c r="N81" s="27"/>
      <c r="O81" s="6"/>
    </row>
    <row r="82" spans="1:16" ht="15.6" x14ac:dyDescent="0.3">
      <c r="A82" s="26"/>
      <c r="B82" s="27" t="s">
        <v>43</v>
      </c>
      <c r="C82" s="27"/>
      <c r="D82" s="27"/>
      <c r="E82" s="27"/>
      <c r="F82" s="27"/>
      <c r="G82" s="27"/>
      <c r="H82" s="27"/>
      <c r="I82" s="27"/>
      <c r="J82" s="27"/>
      <c r="K82" s="37"/>
      <c r="L82" s="27"/>
      <c r="M82" s="56">
        <f>8270</f>
        <v>8270</v>
      </c>
      <c r="N82" s="27"/>
      <c r="O82" s="6"/>
    </row>
    <row r="83" spans="1:16" ht="15.6" x14ac:dyDescent="0.3">
      <c r="A83" s="26"/>
      <c r="B83" s="27" t="s">
        <v>44</v>
      </c>
      <c r="C83" s="27"/>
      <c r="D83" s="27"/>
      <c r="E83" s="27"/>
      <c r="F83" s="27"/>
      <c r="G83" s="27"/>
      <c r="H83" s="27"/>
      <c r="I83" s="27"/>
      <c r="J83" s="27"/>
      <c r="K83" s="37"/>
      <c r="L83" s="27"/>
      <c r="M83" s="56"/>
      <c r="N83" s="27"/>
      <c r="O83" s="6"/>
    </row>
    <row r="84" spans="1:16" ht="15.6" x14ac:dyDescent="0.3">
      <c r="A84" s="26"/>
      <c r="B84" s="27" t="s">
        <v>45</v>
      </c>
      <c r="C84" s="27"/>
      <c r="D84" s="27"/>
      <c r="E84" s="27"/>
      <c r="F84" s="27"/>
      <c r="G84" s="27"/>
      <c r="H84" s="27"/>
      <c r="I84" s="27"/>
      <c r="J84" s="27"/>
      <c r="K84" s="37">
        <f>SUM(K80:K83)</f>
        <v>64516</v>
      </c>
      <c r="L84" s="27"/>
      <c r="M84" s="57">
        <f>SUM(M80:M83)</f>
        <v>8270</v>
      </c>
      <c r="N84" s="27"/>
      <c r="O84" s="6"/>
    </row>
    <row r="85" spans="1:16" ht="15.6" x14ac:dyDescent="0.3">
      <c r="A85" s="26"/>
      <c r="B85" s="27" t="s">
        <v>46</v>
      </c>
      <c r="C85" s="27"/>
      <c r="D85" s="27"/>
      <c r="E85" s="27"/>
      <c r="F85" s="27"/>
      <c r="G85" s="27"/>
      <c r="H85" s="27"/>
      <c r="I85" s="27"/>
      <c r="J85" s="27"/>
      <c r="K85" s="37">
        <f>-M85</f>
        <v>0</v>
      </c>
      <c r="L85" s="27"/>
      <c r="M85" s="56">
        <v>0</v>
      </c>
      <c r="N85" s="27"/>
      <c r="O85" s="6"/>
    </row>
    <row r="86" spans="1:16" ht="15.6" x14ac:dyDescent="0.3">
      <c r="A86" s="26"/>
      <c r="B86" s="27" t="s">
        <v>47</v>
      </c>
      <c r="C86" s="27"/>
      <c r="D86" s="27"/>
      <c r="E86" s="27"/>
      <c r="F86" s="27"/>
      <c r="G86" s="27"/>
      <c r="H86" s="27"/>
      <c r="I86" s="27"/>
      <c r="J86" s="27"/>
      <c r="K86" s="37">
        <f>K84+K85</f>
        <v>64516</v>
      </c>
      <c r="L86" s="27"/>
      <c r="M86" s="57">
        <f>M84+M85</f>
        <v>8270</v>
      </c>
      <c r="N86" s="27"/>
      <c r="O86" s="6"/>
      <c r="P86" s="156"/>
    </row>
    <row r="87" spans="1:16" ht="15.6" x14ac:dyDescent="0.3">
      <c r="A87" s="26"/>
      <c r="B87" s="126" t="s">
        <v>48</v>
      </c>
      <c r="C87" s="62"/>
      <c r="D87" s="62"/>
      <c r="E87" s="27"/>
      <c r="F87" s="27"/>
      <c r="G87" s="27"/>
      <c r="H87" s="27"/>
      <c r="I87" s="27"/>
      <c r="J87" s="27"/>
      <c r="K87" s="37"/>
      <c r="L87" s="27"/>
      <c r="M87" s="56"/>
      <c r="N87" s="27"/>
      <c r="O87" s="6"/>
    </row>
    <row r="88" spans="1:16" ht="15.6" x14ac:dyDescent="0.3">
      <c r="A88" s="26">
        <v>1</v>
      </c>
      <c r="B88" s="27" t="s">
        <v>49</v>
      </c>
      <c r="C88" s="27"/>
      <c r="D88" s="27"/>
      <c r="E88" s="27"/>
      <c r="F88" s="27"/>
      <c r="G88" s="27"/>
      <c r="H88" s="27"/>
      <c r="I88" s="27"/>
      <c r="J88" s="27"/>
      <c r="K88" s="27"/>
      <c r="L88" s="27"/>
      <c r="M88" s="56">
        <v>-116</v>
      </c>
      <c r="N88" s="27"/>
      <c r="O88" s="6"/>
      <c r="P88" s="117"/>
    </row>
    <row r="89" spans="1:16" ht="15.6" x14ac:dyDescent="0.3">
      <c r="A89" s="26">
        <v>2</v>
      </c>
      <c r="B89" s="27" t="s">
        <v>50</v>
      </c>
      <c r="C89" s="27"/>
      <c r="D89" s="27"/>
      <c r="E89" s="27"/>
      <c r="F89" s="27"/>
      <c r="G89" s="27"/>
      <c r="H89" s="27"/>
      <c r="I89" s="27"/>
      <c r="J89" s="27"/>
      <c r="K89" s="27"/>
      <c r="L89" s="27"/>
      <c r="M89" s="56">
        <v>-2</v>
      </c>
      <c r="N89" s="27"/>
      <c r="O89" s="6"/>
      <c r="P89" s="156"/>
    </row>
    <row r="90" spans="1:16" ht="15.6" x14ac:dyDescent="0.3">
      <c r="A90" s="26">
        <v>3</v>
      </c>
      <c r="B90" s="27" t="s">
        <v>194</v>
      </c>
      <c r="C90" s="27"/>
      <c r="D90" s="27"/>
      <c r="E90" s="27"/>
      <c r="F90" s="27"/>
      <c r="G90" s="27"/>
      <c r="H90" s="27"/>
      <c r="I90" s="27"/>
      <c r="J90" s="27"/>
      <c r="K90" s="27"/>
      <c r="L90" s="27"/>
      <c r="M90" s="56">
        <f>-103-49-7</f>
        <v>-159</v>
      </c>
      <c r="N90" s="27"/>
      <c r="O90" s="6"/>
    </row>
    <row r="91" spans="1:16" ht="15.6" x14ac:dyDescent="0.3">
      <c r="A91" s="140" t="s">
        <v>184</v>
      </c>
      <c r="B91" s="27" t="s">
        <v>146</v>
      </c>
      <c r="C91" s="27"/>
      <c r="D91" s="27"/>
      <c r="E91" s="27"/>
      <c r="F91" s="27"/>
      <c r="G91" s="27"/>
      <c r="H91" s="27"/>
      <c r="I91" s="27"/>
      <c r="J91" s="27"/>
      <c r="K91" s="27"/>
      <c r="L91" s="27"/>
      <c r="M91" s="56">
        <v>0</v>
      </c>
      <c r="N91" s="27"/>
      <c r="O91" s="6"/>
    </row>
    <row r="92" spans="1:16" ht="15.6" x14ac:dyDescent="0.3">
      <c r="A92" s="140" t="s">
        <v>192</v>
      </c>
      <c r="B92" s="27" t="s">
        <v>51</v>
      </c>
      <c r="C92" s="27"/>
      <c r="D92" s="27"/>
      <c r="E92" s="27"/>
      <c r="F92" s="27"/>
      <c r="G92" s="27"/>
      <c r="H92" s="27"/>
      <c r="I92" s="27"/>
      <c r="J92" s="27"/>
      <c r="K92" s="27"/>
      <c r="L92" s="27"/>
      <c r="M92" s="56">
        <v>-2787</v>
      </c>
      <c r="N92" s="27"/>
      <c r="O92" s="6"/>
    </row>
    <row r="93" spans="1:16" ht="15.6" x14ac:dyDescent="0.3">
      <c r="A93" s="26">
        <v>5</v>
      </c>
      <c r="B93" s="27" t="s">
        <v>52</v>
      </c>
      <c r="C93" s="27"/>
      <c r="D93" s="27"/>
      <c r="E93" s="27"/>
      <c r="F93" s="27"/>
      <c r="G93" s="27"/>
      <c r="H93" s="27"/>
      <c r="I93" s="27"/>
      <c r="J93" s="27"/>
      <c r="K93" s="27"/>
      <c r="L93" s="27"/>
      <c r="M93" s="56">
        <v>-565</v>
      </c>
      <c r="N93" s="27"/>
      <c r="O93" s="6"/>
    </row>
    <row r="94" spans="1:16" ht="15.6" x14ac:dyDescent="0.3">
      <c r="A94" s="26">
        <v>6</v>
      </c>
      <c r="B94" s="27" t="s">
        <v>172</v>
      </c>
      <c r="C94" s="27"/>
      <c r="D94" s="27"/>
      <c r="E94" s="27"/>
      <c r="F94" s="27"/>
      <c r="G94" s="27"/>
      <c r="H94" s="27"/>
      <c r="I94" s="27"/>
      <c r="J94" s="27"/>
      <c r="K94" s="27"/>
      <c r="L94" s="27"/>
      <c r="M94" s="56">
        <v>-380</v>
      </c>
      <c r="N94" s="27"/>
      <c r="O94" s="6"/>
    </row>
    <row r="95" spans="1:16" ht="15.6" x14ac:dyDescent="0.3">
      <c r="A95" s="26">
        <v>7</v>
      </c>
      <c r="B95" s="27" t="s">
        <v>53</v>
      </c>
      <c r="C95" s="27"/>
      <c r="D95" s="27"/>
      <c r="E95" s="27"/>
      <c r="F95" s="27"/>
      <c r="G95" s="27"/>
      <c r="H95" s="27"/>
      <c r="I95" s="27"/>
      <c r="J95" s="27"/>
      <c r="K95" s="27"/>
      <c r="L95" s="27"/>
      <c r="M95" s="56">
        <v>-5</v>
      </c>
      <c r="N95" s="27"/>
      <c r="O95" s="6"/>
    </row>
    <row r="96" spans="1:16" ht="15.6" x14ac:dyDescent="0.3">
      <c r="A96" s="26">
        <v>8</v>
      </c>
      <c r="B96" s="27" t="s">
        <v>69</v>
      </c>
      <c r="C96" s="27"/>
      <c r="D96" s="27"/>
      <c r="E96" s="27"/>
      <c r="F96" s="27"/>
      <c r="G96" s="27"/>
      <c r="H96" s="27"/>
      <c r="I96" s="27"/>
      <c r="J96" s="27"/>
      <c r="K96" s="37">
        <f>-M96</f>
        <v>491</v>
      </c>
      <c r="L96" s="27"/>
      <c r="M96" s="56">
        <v>-491</v>
      </c>
      <c r="N96" s="27"/>
      <c r="O96" s="6"/>
    </row>
    <row r="97" spans="1:15" ht="15.6" x14ac:dyDescent="0.3">
      <c r="A97" s="26">
        <v>9</v>
      </c>
      <c r="B97" s="27" t="s">
        <v>193</v>
      </c>
      <c r="C97" s="27"/>
      <c r="D97" s="27"/>
      <c r="E97" s="27"/>
      <c r="F97" s="27"/>
      <c r="G97" s="27"/>
      <c r="H97" s="27"/>
      <c r="I97" s="27"/>
      <c r="J97" s="27"/>
      <c r="K97" s="27"/>
      <c r="L97" s="27"/>
      <c r="M97" s="56">
        <v>0</v>
      </c>
      <c r="N97" s="27"/>
      <c r="O97" s="6"/>
    </row>
    <row r="98" spans="1:15" ht="15.6" x14ac:dyDescent="0.3">
      <c r="A98" s="26">
        <v>10</v>
      </c>
      <c r="B98" s="27" t="s">
        <v>54</v>
      </c>
      <c r="C98" s="27"/>
      <c r="D98" s="27"/>
      <c r="E98" s="27"/>
      <c r="F98" s="27"/>
      <c r="G98" s="27"/>
      <c r="H98" s="27"/>
      <c r="I98" s="27"/>
      <c r="J98" s="27"/>
      <c r="K98" s="27"/>
      <c r="L98" s="27"/>
      <c r="M98" s="56">
        <v>0</v>
      </c>
      <c r="N98" s="27"/>
      <c r="O98" s="6"/>
    </row>
    <row r="99" spans="1:15" ht="15.6" x14ac:dyDescent="0.3">
      <c r="A99" s="26">
        <v>11</v>
      </c>
      <c r="B99" s="27" t="s">
        <v>55</v>
      </c>
      <c r="C99" s="27"/>
      <c r="D99" s="27"/>
      <c r="E99" s="27"/>
      <c r="F99" s="27"/>
      <c r="G99" s="27"/>
      <c r="H99" s="27"/>
      <c r="I99" s="27"/>
      <c r="J99" s="27"/>
      <c r="K99" s="27"/>
      <c r="L99" s="27"/>
      <c r="M99" s="56">
        <v>0</v>
      </c>
      <c r="N99" s="27"/>
      <c r="O99" s="6"/>
    </row>
    <row r="100" spans="1:15" ht="15.6" x14ac:dyDescent="0.3">
      <c r="A100" s="26">
        <v>12</v>
      </c>
      <c r="B100" s="27" t="s">
        <v>173</v>
      </c>
      <c r="C100" s="27"/>
      <c r="D100" s="27"/>
      <c r="E100" s="27"/>
      <c r="F100" s="27"/>
      <c r="G100" s="27"/>
      <c r="H100" s="27"/>
      <c r="I100" s="27"/>
      <c r="J100" s="27"/>
      <c r="K100" s="27"/>
      <c r="L100" s="27"/>
      <c r="M100" s="56">
        <v>-102</v>
      </c>
      <c r="N100" s="27"/>
      <c r="O100" s="6"/>
    </row>
    <row r="101" spans="1:15" ht="15.6" x14ac:dyDescent="0.3">
      <c r="A101" s="26">
        <v>13</v>
      </c>
      <c r="B101" s="27" t="s">
        <v>195</v>
      </c>
      <c r="C101" s="27"/>
      <c r="D101" s="27"/>
      <c r="E101" s="27"/>
      <c r="F101" s="27"/>
      <c r="G101" s="27"/>
      <c r="H101" s="27"/>
      <c r="I101" s="27"/>
      <c r="J101" s="27"/>
      <c r="K101" s="27"/>
      <c r="L101" s="27"/>
      <c r="M101" s="56">
        <f>-M86-SUM(M88:M100)</f>
        <v>-3663</v>
      </c>
      <c r="N101" s="27"/>
      <c r="O101" s="6"/>
    </row>
    <row r="102" spans="1:15" ht="15.6" x14ac:dyDescent="0.3">
      <c r="A102" s="26"/>
      <c r="B102" s="126" t="s">
        <v>56</v>
      </c>
      <c r="C102" s="62"/>
      <c r="D102" s="62"/>
      <c r="E102" s="27"/>
      <c r="F102" s="27"/>
      <c r="G102" s="27"/>
      <c r="H102" s="27"/>
      <c r="I102" s="27"/>
      <c r="J102" s="27"/>
      <c r="K102" s="27"/>
      <c r="L102" s="27"/>
      <c r="M102" s="63"/>
      <c r="N102" s="27"/>
      <c r="O102" s="6"/>
    </row>
    <row r="103" spans="1:15" ht="15.6" x14ac:dyDescent="0.3">
      <c r="A103" s="26"/>
      <c r="B103" s="27" t="s">
        <v>57</v>
      </c>
      <c r="C103" s="62"/>
      <c r="D103" s="62"/>
      <c r="E103" s="27"/>
      <c r="F103" s="27"/>
      <c r="G103" s="27"/>
      <c r="H103" s="27"/>
      <c r="I103" s="27"/>
      <c r="J103" s="27"/>
      <c r="K103" s="37">
        <f>-K152</f>
        <v>0</v>
      </c>
      <c r="L103" s="37"/>
      <c r="M103" s="56"/>
      <c r="N103" s="27"/>
      <c r="O103" s="6"/>
    </row>
    <row r="104" spans="1:15" ht="15.6" x14ac:dyDescent="0.3">
      <c r="A104" s="26"/>
      <c r="B104" s="27" t="s">
        <v>58</v>
      </c>
      <c r="C104" s="27"/>
      <c r="D104" s="27"/>
      <c r="E104" s="27"/>
      <c r="F104" s="27"/>
      <c r="G104" s="27"/>
      <c r="H104" s="27"/>
      <c r="I104" s="27"/>
      <c r="J104" s="27"/>
      <c r="K104" s="37">
        <f>-I152</f>
        <v>-555</v>
      </c>
      <c r="L104" s="37"/>
      <c r="M104" s="56"/>
      <c r="N104" s="27"/>
      <c r="O104" s="6"/>
    </row>
    <row r="105" spans="1:15" ht="15.6" x14ac:dyDescent="0.3">
      <c r="A105" s="26"/>
      <c r="B105" s="27" t="s">
        <v>187</v>
      </c>
      <c r="C105" s="27"/>
      <c r="D105" s="27"/>
      <c r="E105" s="27"/>
      <c r="F105" s="27"/>
      <c r="G105" s="27"/>
      <c r="H105" s="27"/>
      <c r="I105" s="27"/>
      <c r="J105" s="27"/>
      <c r="K105" s="37">
        <v>-25947</v>
      </c>
      <c r="L105" s="37"/>
      <c r="M105" s="56"/>
      <c r="N105" s="27"/>
      <c r="O105" s="6"/>
    </row>
    <row r="106" spans="1:15" ht="15.6" x14ac:dyDescent="0.3">
      <c r="A106" s="26"/>
      <c r="B106" s="27" t="s">
        <v>185</v>
      </c>
      <c r="C106" s="27"/>
      <c r="D106" s="27"/>
      <c r="E106" s="27"/>
      <c r="F106" s="27"/>
      <c r="G106" s="27"/>
      <c r="H106" s="27"/>
      <c r="I106" s="27"/>
      <c r="J106" s="27"/>
      <c r="K106" s="37">
        <v>0</v>
      </c>
      <c r="L106" s="37"/>
      <c r="M106" s="56"/>
      <c r="N106" s="27"/>
      <c r="O106" s="6"/>
    </row>
    <row r="107" spans="1:15" ht="15.6" x14ac:dyDescent="0.3">
      <c r="A107" s="26"/>
      <c r="B107" s="27" t="s">
        <v>59</v>
      </c>
      <c r="C107" s="27"/>
      <c r="D107" s="27"/>
      <c r="E107" s="27"/>
      <c r="F107" s="27"/>
      <c r="G107" s="27"/>
      <c r="H107" s="27"/>
      <c r="I107" s="27"/>
      <c r="J107" s="27"/>
      <c r="K107" s="37">
        <v>0</v>
      </c>
      <c r="L107" s="37"/>
      <c r="M107" s="56"/>
      <c r="N107" s="27"/>
      <c r="O107" s="6"/>
    </row>
    <row r="108" spans="1:15" ht="15.6" x14ac:dyDescent="0.3">
      <c r="A108" s="26"/>
      <c r="B108" s="27" t="s">
        <v>186</v>
      </c>
      <c r="C108" s="27"/>
      <c r="D108" s="27"/>
      <c r="E108" s="27"/>
      <c r="F108" s="27"/>
      <c r="G108" s="27"/>
      <c r="H108" s="27"/>
      <c r="I108" s="27"/>
      <c r="J108" s="27"/>
      <c r="K108" s="37">
        <v>0</v>
      </c>
      <c r="L108" s="37"/>
      <c r="M108" s="56"/>
      <c r="N108" s="27"/>
      <c r="O108" s="6"/>
    </row>
    <row r="109" spans="1:15" ht="15.6" x14ac:dyDescent="0.3">
      <c r="A109" s="26"/>
      <c r="B109" s="27" t="s">
        <v>60</v>
      </c>
      <c r="C109" s="27"/>
      <c r="D109" s="27"/>
      <c r="E109" s="27"/>
      <c r="F109" s="27"/>
      <c r="G109" s="27"/>
      <c r="H109" s="27"/>
      <c r="I109" s="27"/>
      <c r="J109" s="27"/>
      <c r="K109" s="37">
        <f>+K104+K105</f>
        <v>-26502</v>
      </c>
      <c r="L109" s="37"/>
      <c r="M109" s="37">
        <f>SUM(M87:M108)</f>
        <v>-8270</v>
      </c>
      <c r="N109" s="27"/>
      <c r="O109" s="6"/>
    </row>
    <row r="110" spans="1:15" ht="15.6" x14ac:dyDescent="0.3">
      <c r="A110" s="26"/>
      <c r="B110" s="27" t="s">
        <v>61</v>
      </c>
      <c r="C110" s="27"/>
      <c r="D110" s="27"/>
      <c r="E110" s="27"/>
      <c r="F110" s="27"/>
      <c r="G110" s="27"/>
      <c r="H110" s="27"/>
      <c r="I110" s="27"/>
      <c r="J110" s="27"/>
      <c r="K110" s="37">
        <f>K86+K109+K96</f>
        <v>38505</v>
      </c>
      <c r="L110" s="37"/>
      <c r="M110" s="37">
        <f>M86+M109</f>
        <v>0</v>
      </c>
      <c r="N110" s="27"/>
      <c r="O110" s="6"/>
    </row>
    <row r="111" spans="1:15" ht="15.6" x14ac:dyDescent="0.3">
      <c r="A111" s="26"/>
      <c r="B111" s="27"/>
      <c r="C111" s="27"/>
      <c r="D111" s="27"/>
      <c r="E111" s="27"/>
      <c r="F111" s="27"/>
      <c r="G111" s="27"/>
      <c r="H111" s="27"/>
      <c r="I111" s="27"/>
      <c r="J111" s="27"/>
      <c r="K111" s="37"/>
      <c r="L111" s="37"/>
      <c r="M111" s="37"/>
      <c r="N111" s="27"/>
      <c r="O111" s="6"/>
    </row>
    <row r="112" spans="1:15" ht="15.6" x14ac:dyDescent="0.3">
      <c r="A112" s="7"/>
      <c r="B112" s="9"/>
      <c r="C112" s="9"/>
      <c r="D112" s="9"/>
      <c r="E112" s="9"/>
      <c r="F112" s="9"/>
      <c r="G112" s="9"/>
      <c r="H112" s="9"/>
      <c r="I112" s="9"/>
      <c r="J112" s="9"/>
      <c r="K112" s="9"/>
      <c r="L112" s="9"/>
      <c r="M112" s="55"/>
      <c r="N112" s="9"/>
      <c r="O112" s="6"/>
    </row>
    <row r="113" spans="1:15" ht="18" thickBot="1" x14ac:dyDescent="0.35">
      <c r="A113" s="109"/>
      <c r="B113" s="110" t="str">
        <f>B54</f>
        <v>PSF1 INVESTOR REPORT QUARTER ENDING OCTOBER 2005</v>
      </c>
      <c r="C113" s="111"/>
      <c r="D113" s="111"/>
      <c r="E113" s="111"/>
      <c r="F113" s="111"/>
      <c r="G113" s="111"/>
      <c r="H113" s="111"/>
      <c r="I113" s="111"/>
      <c r="J113" s="111"/>
      <c r="K113" s="111"/>
      <c r="L113" s="111"/>
      <c r="M113" s="114"/>
      <c r="N113" s="113"/>
      <c r="O113" s="6"/>
    </row>
    <row r="114" spans="1:15" ht="15.6" x14ac:dyDescent="0.3">
      <c r="A114" s="2"/>
      <c r="B114" s="64" t="s">
        <v>62</v>
      </c>
      <c r="C114" s="65"/>
      <c r="D114" s="65"/>
      <c r="E114" s="5"/>
      <c r="F114" s="5"/>
      <c r="G114" s="5"/>
      <c r="H114" s="5"/>
      <c r="I114" s="5"/>
      <c r="J114" s="5"/>
      <c r="K114" s="5"/>
      <c r="L114" s="5"/>
      <c r="M114" s="53"/>
      <c r="N114" s="5"/>
      <c r="O114" s="6"/>
    </row>
    <row r="115" spans="1:15" ht="15.6" x14ac:dyDescent="0.3">
      <c r="A115" s="7"/>
      <c r="B115" s="23"/>
      <c r="C115" s="15"/>
      <c r="D115" s="15"/>
      <c r="E115" s="9"/>
      <c r="F115" s="9"/>
      <c r="G115" s="9"/>
      <c r="H115" s="9"/>
      <c r="I115" s="9"/>
      <c r="J115" s="9"/>
      <c r="K115" s="9"/>
      <c r="L115" s="9"/>
      <c r="M115" s="55"/>
      <c r="N115" s="9"/>
      <c r="O115" s="6"/>
    </row>
    <row r="116" spans="1:15" ht="15.6" x14ac:dyDescent="0.3">
      <c r="A116" s="7"/>
      <c r="B116" s="127" t="s">
        <v>63</v>
      </c>
      <c r="C116" s="15"/>
      <c r="D116" s="15"/>
      <c r="E116" s="9"/>
      <c r="F116" s="9"/>
      <c r="G116" s="9"/>
      <c r="H116" s="9"/>
      <c r="I116" s="9"/>
      <c r="J116" s="9"/>
      <c r="K116" s="9"/>
      <c r="L116" s="9"/>
      <c r="M116" s="55"/>
      <c r="N116" s="9"/>
      <c r="O116" s="6"/>
    </row>
    <row r="117" spans="1:15" ht="15.6" x14ac:dyDescent="0.3">
      <c r="A117" s="26"/>
      <c r="B117" s="27" t="s">
        <v>64</v>
      </c>
      <c r="C117" s="27"/>
      <c r="D117" s="27"/>
      <c r="E117" s="27"/>
      <c r="F117" s="27"/>
      <c r="G117" s="27"/>
      <c r="H117" s="27"/>
      <c r="I117" s="27"/>
      <c r="J117" s="27"/>
      <c r="K117" s="27"/>
      <c r="L117" s="27"/>
      <c r="M117" s="56">
        <f>+M30*0.045</f>
        <v>13500</v>
      </c>
      <c r="N117" s="27"/>
      <c r="O117" s="6"/>
    </row>
    <row r="118" spans="1:15" ht="15.6" x14ac:dyDescent="0.3">
      <c r="A118" s="26"/>
      <c r="B118" s="27" t="s">
        <v>65</v>
      </c>
      <c r="C118" s="27"/>
      <c r="D118" s="27"/>
      <c r="E118" s="27"/>
      <c r="F118" s="27"/>
      <c r="G118" s="27"/>
      <c r="H118" s="27"/>
      <c r="I118" s="27"/>
      <c r="J118" s="27"/>
      <c r="K118" s="27"/>
      <c r="L118" s="27"/>
      <c r="M118" s="56">
        <v>13500</v>
      </c>
      <c r="N118" s="27"/>
      <c r="O118" s="6"/>
    </row>
    <row r="119" spans="1:15" ht="15.6" x14ac:dyDescent="0.3">
      <c r="A119" s="26"/>
      <c r="B119" s="27" t="s">
        <v>66</v>
      </c>
      <c r="C119" s="27"/>
      <c r="D119" s="27"/>
      <c r="E119" s="27"/>
      <c r="F119" s="27"/>
      <c r="G119" s="27"/>
      <c r="H119" s="27"/>
      <c r="I119" s="27"/>
      <c r="J119" s="27"/>
      <c r="K119" s="27"/>
      <c r="L119" s="27"/>
      <c r="M119" s="56">
        <v>0</v>
      </c>
      <c r="N119" s="27"/>
      <c r="O119" s="6"/>
    </row>
    <row r="120" spans="1:15" ht="15.6" x14ac:dyDescent="0.3">
      <c r="A120" s="26"/>
      <c r="B120" s="27" t="s">
        <v>67</v>
      </c>
      <c r="C120" s="27"/>
      <c r="D120" s="27"/>
      <c r="E120" s="27"/>
      <c r="F120" s="27"/>
      <c r="G120" s="27"/>
      <c r="H120" s="27"/>
      <c r="I120" s="27"/>
      <c r="J120" s="27"/>
      <c r="K120" s="27"/>
      <c r="L120" s="27"/>
      <c r="M120" s="56">
        <v>0</v>
      </c>
      <c r="N120" s="27"/>
      <c r="O120" s="6"/>
    </row>
    <row r="121" spans="1:15" ht="15.6" x14ac:dyDescent="0.3">
      <c r="A121" s="26"/>
      <c r="B121" s="27" t="s">
        <v>68</v>
      </c>
      <c r="C121" s="27"/>
      <c r="D121" s="27"/>
      <c r="E121" s="27"/>
      <c r="F121" s="27"/>
      <c r="G121" s="27"/>
      <c r="H121" s="27"/>
      <c r="I121" s="27"/>
      <c r="J121" s="27"/>
      <c r="K121" s="27"/>
      <c r="L121" s="27"/>
      <c r="M121" s="56">
        <v>0</v>
      </c>
      <c r="N121" s="27"/>
      <c r="O121" s="6"/>
    </row>
    <row r="122" spans="1:15" ht="15.6" x14ac:dyDescent="0.3">
      <c r="A122" s="26"/>
      <c r="B122" s="27" t="s">
        <v>51</v>
      </c>
      <c r="C122" s="27"/>
      <c r="D122" s="27"/>
      <c r="E122" s="27"/>
      <c r="F122" s="27"/>
      <c r="G122" s="27"/>
      <c r="H122" s="27"/>
      <c r="I122" s="27"/>
      <c r="J122" s="27"/>
      <c r="K122" s="27"/>
      <c r="L122" s="27"/>
      <c r="M122" s="56">
        <v>0</v>
      </c>
      <c r="N122" s="27"/>
      <c r="O122" s="6"/>
    </row>
    <row r="123" spans="1:15" ht="15.6" x14ac:dyDescent="0.3">
      <c r="A123" s="26"/>
      <c r="B123" s="27" t="s">
        <v>52</v>
      </c>
      <c r="C123" s="27"/>
      <c r="D123" s="27"/>
      <c r="E123" s="27"/>
      <c r="F123" s="27"/>
      <c r="G123" s="27"/>
      <c r="H123" s="27"/>
      <c r="I123" s="27"/>
      <c r="J123" s="27"/>
      <c r="K123" s="27"/>
      <c r="L123" s="27"/>
      <c r="M123" s="56">
        <v>0</v>
      </c>
      <c r="N123" s="27"/>
      <c r="O123" s="6"/>
    </row>
    <row r="124" spans="1:15" ht="15.6" x14ac:dyDescent="0.3">
      <c r="A124" s="26"/>
      <c r="B124" s="27" t="s">
        <v>172</v>
      </c>
      <c r="C124" s="27"/>
      <c r="D124" s="27"/>
      <c r="E124" s="27"/>
      <c r="F124" s="27"/>
      <c r="G124" s="27"/>
      <c r="H124" s="27"/>
      <c r="I124" s="27"/>
      <c r="J124" s="27"/>
      <c r="K124" s="27"/>
      <c r="L124" s="27"/>
      <c r="M124" s="56">
        <v>0</v>
      </c>
      <c r="N124" s="27"/>
      <c r="O124" s="6"/>
    </row>
    <row r="125" spans="1:15" ht="15.6" x14ac:dyDescent="0.3">
      <c r="A125" s="26"/>
      <c r="B125" s="27" t="s">
        <v>69</v>
      </c>
      <c r="C125" s="27"/>
      <c r="D125" s="27"/>
      <c r="E125" s="27"/>
      <c r="F125" s="27"/>
      <c r="G125" s="27"/>
      <c r="H125" s="27"/>
      <c r="I125" s="27"/>
      <c r="J125" s="27"/>
      <c r="K125" s="27"/>
      <c r="L125" s="27"/>
      <c r="M125" s="56">
        <v>0</v>
      </c>
      <c r="N125" s="27"/>
      <c r="O125" s="6"/>
    </row>
    <row r="126" spans="1:15" ht="15.6" x14ac:dyDescent="0.3">
      <c r="A126" s="26"/>
      <c r="B126" s="27" t="s">
        <v>70</v>
      </c>
      <c r="C126" s="27"/>
      <c r="D126" s="27"/>
      <c r="E126" s="27"/>
      <c r="F126" s="27"/>
      <c r="G126" s="27"/>
      <c r="H126" s="27"/>
      <c r="I126" s="27"/>
      <c r="J126" s="27"/>
      <c r="K126" s="27"/>
      <c r="L126" s="27"/>
      <c r="M126" s="56">
        <f>SUM(M118:M125)</f>
        <v>13500</v>
      </c>
      <c r="N126" s="27"/>
      <c r="O126" s="6"/>
    </row>
    <row r="127" spans="1:15" ht="15.6" x14ac:dyDescent="0.3">
      <c r="A127" s="26"/>
      <c r="B127" s="27"/>
      <c r="C127" s="27"/>
      <c r="D127" s="27"/>
      <c r="E127" s="27"/>
      <c r="F127" s="27"/>
      <c r="G127" s="27"/>
      <c r="H127" s="27"/>
      <c r="I127" s="27"/>
      <c r="J127" s="27"/>
      <c r="K127" s="27"/>
      <c r="L127" s="27"/>
      <c r="M127" s="66"/>
      <c r="N127" s="27"/>
      <c r="O127" s="6"/>
    </row>
    <row r="128" spans="1:15" ht="15.6" x14ac:dyDescent="0.3">
      <c r="A128" s="7"/>
      <c r="B128" s="127" t="s">
        <v>37</v>
      </c>
      <c r="C128" s="9"/>
      <c r="D128" s="9"/>
      <c r="E128" s="9"/>
      <c r="F128" s="9"/>
      <c r="G128" s="9"/>
      <c r="H128" s="9"/>
      <c r="I128" s="9"/>
      <c r="J128" s="9"/>
      <c r="K128" s="9"/>
      <c r="L128" s="9"/>
      <c r="M128" s="55"/>
      <c r="N128" s="9"/>
      <c r="O128" s="6"/>
    </row>
    <row r="129" spans="1:15" ht="15.6" x14ac:dyDescent="0.3">
      <c r="A129" s="26"/>
      <c r="B129" s="27" t="s">
        <v>71</v>
      </c>
      <c r="C129" s="27"/>
      <c r="D129" s="27"/>
      <c r="E129" s="67"/>
      <c r="F129" s="27"/>
      <c r="G129" s="27"/>
      <c r="H129" s="27"/>
      <c r="I129" s="27"/>
      <c r="J129" s="27"/>
      <c r="K129" s="27"/>
      <c r="L129" s="27"/>
      <c r="M129" s="68" t="s">
        <v>136</v>
      </c>
      <c r="N129" s="27"/>
      <c r="O129" s="6"/>
    </row>
    <row r="130" spans="1:15" ht="15.6" x14ac:dyDescent="0.3">
      <c r="A130" s="26"/>
      <c r="B130" s="27" t="s">
        <v>72</v>
      </c>
      <c r="C130" s="142"/>
      <c r="D130" s="142"/>
      <c r="E130" s="142"/>
      <c r="F130" s="142"/>
      <c r="G130" s="142"/>
      <c r="H130" s="142"/>
      <c r="I130" s="142"/>
      <c r="J130" s="142"/>
      <c r="K130" s="142"/>
      <c r="L130" s="142"/>
      <c r="M130" s="68" t="s">
        <v>136</v>
      </c>
      <c r="N130" s="27"/>
      <c r="O130" s="6"/>
    </row>
    <row r="131" spans="1:15" ht="15.6" x14ac:dyDescent="0.3">
      <c r="A131" s="26"/>
      <c r="B131" s="27" t="s">
        <v>73</v>
      </c>
      <c r="C131" s="27"/>
      <c r="D131" s="27"/>
      <c r="E131" s="27"/>
      <c r="F131" s="27"/>
      <c r="G131" s="27"/>
      <c r="H131" s="27"/>
      <c r="I131" s="27"/>
      <c r="J131" s="27"/>
      <c r="K131" s="27"/>
      <c r="L131" s="27"/>
      <c r="M131" s="68" t="s">
        <v>136</v>
      </c>
      <c r="N131" s="27"/>
      <c r="O131" s="6"/>
    </row>
    <row r="132" spans="1:15" ht="15.6" x14ac:dyDescent="0.3">
      <c r="A132" s="26"/>
      <c r="B132" s="27" t="s">
        <v>74</v>
      </c>
      <c r="C132" s="27"/>
      <c r="D132" s="27"/>
      <c r="E132" s="27"/>
      <c r="F132" s="27"/>
      <c r="G132" s="27"/>
      <c r="H132" s="27"/>
      <c r="I132" s="27"/>
      <c r="J132" s="27"/>
      <c r="K132" s="27"/>
      <c r="L132" s="27"/>
      <c r="M132" s="68" t="s">
        <v>136</v>
      </c>
      <c r="N132" s="27"/>
      <c r="O132" s="6"/>
    </row>
    <row r="133" spans="1:15" ht="15.6" x14ac:dyDescent="0.3">
      <c r="A133" s="26"/>
      <c r="B133" s="27"/>
      <c r="C133" s="27"/>
      <c r="D133" s="27"/>
      <c r="E133" s="27"/>
      <c r="F133" s="27"/>
      <c r="G133" s="27"/>
      <c r="H133" s="27"/>
      <c r="I133" s="27"/>
      <c r="J133" s="27"/>
      <c r="K133" s="27"/>
      <c r="L133" s="27"/>
      <c r="M133" s="66"/>
      <c r="N133" s="27"/>
      <c r="O133" s="6"/>
    </row>
    <row r="134" spans="1:15" ht="15.6" x14ac:dyDescent="0.3">
      <c r="A134" s="7"/>
      <c r="B134" s="127" t="s">
        <v>75</v>
      </c>
      <c r="C134" s="15"/>
      <c r="D134" s="15"/>
      <c r="E134" s="9"/>
      <c r="F134" s="9"/>
      <c r="G134" s="9"/>
      <c r="H134" s="9"/>
      <c r="I134" s="9"/>
      <c r="J134" s="9"/>
      <c r="K134" s="9"/>
      <c r="L134" s="9"/>
      <c r="M134" s="69"/>
      <c r="N134" s="9"/>
      <c r="O134" s="6"/>
    </row>
    <row r="135" spans="1:15" ht="15.6" x14ac:dyDescent="0.3">
      <c r="A135" s="26"/>
      <c r="B135" s="27" t="s">
        <v>76</v>
      </c>
      <c r="C135" s="27"/>
      <c r="D135" s="27"/>
      <c r="E135" s="27"/>
      <c r="F135" s="27"/>
      <c r="G135" s="27"/>
      <c r="H135" s="27"/>
      <c r="I135" s="27"/>
      <c r="J135" s="27"/>
      <c r="K135" s="27"/>
      <c r="L135" s="27"/>
      <c r="M135" s="56">
        <v>0</v>
      </c>
      <c r="N135" s="27"/>
      <c r="O135" s="6"/>
    </row>
    <row r="136" spans="1:15" ht="15.6" x14ac:dyDescent="0.3">
      <c r="A136" s="26"/>
      <c r="B136" s="27" t="s">
        <v>190</v>
      </c>
      <c r="C136" s="27"/>
      <c r="D136" s="27"/>
      <c r="E136" s="27"/>
      <c r="F136" s="27"/>
      <c r="G136" s="27"/>
      <c r="H136" s="27"/>
      <c r="I136" s="27"/>
      <c r="J136" s="27"/>
      <c r="K136" s="27"/>
      <c r="L136" s="27"/>
      <c r="M136" s="56">
        <v>145</v>
      </c>
      <c r="N136" s="27"/>
      <c r="O136" s="6"/>
    </row>
    <row r="137" spans="1:15" ht="15.6" x14ac:dyDescent="0.3">
      <c r="A137" s="26"/>
      <c r="B137" s="27" t="s">
        <v>180</v>
      </c>
      <c r="C137" s="27"/>
      <c r="D137" s="27"/>
      <c r="E137" s="27"/>
      <c r="F137" s="27"/>
      <c r="G137" s="27"/>
      <c r="H137" s="27"/>
      <c r="I137" s="27"/>
      <c r="J137" s="27"/>
      <c r="K137" s="27"/>
      <c r="L137" s="27"/>
      <c r="M137" s="56">
        <v>346</v>
      </c>
      <c r="N137" s="27"/>
      <c r="O137" s="6"/>
    </row>
    <row r="138" spans="1:15" ht="15.6" x14ac:dyDescent="0.3">
      <c r="A138" s="26"/>
      <c r="B138" s="27" t="s">
        <v>77</v>
      </c>
      <c r="C138" s="27"/>
      <c r="D138" s="27"/>
      <c r="E138" s="27"/>
      <c r="F138" s="27"/>
      <c r="G138" s="27"/>
      <c r="H138" s="27"/>
      <c r="I138" s="27"/>
      <c r="J138" s="27"/>
      <c r="K138" s="27"/>
      <c r="L138" s="27"/>
      <c r="M138" s="56">
        <f>M136+M135+M137</f>
        <v>491</v>
      </c>
      <c r="N138" s="27"/>
      <c r="O138" s="6"/>
    </row>
    <row r="139" spans="1:15" ht="15.6" x14ac:dyDescent="0.3">
      <c r="A139" s="26"/>
      <c r="B139" s="27" t="s">
        <v>183</v>
      </c>
      <c r="C139" s="27"/>
      <c r="D139" s="27"/>
      <c r="E139" s="27"/>
      <c r="F139" s="27"/>
      <c r="G139" s="27"/>
      <c r="H139" s="27"/>
      <c r="I139" s="70"/>
      <c r="J139" s="27"/>
      <c r="K139" s="27"/>
      <c r="L139" s="27"/>
      <c r="M139" s="56">
        <f>M96</f>
        <v>-491</v>
      </c>
      <c r="N139" s="27"/>
      <c r="O139" s="6"/>
    </row>
    <row r="140" spans="1:15" ht="15.6" x14ac:dyDescent="0.3">
      <c r="A140" s="26"/>
      <c r="B140" s="27" t="s">
        <v>78</v>
      </c>
      <c r="C140" s="27"/>
      <c r="D140" s="27"/>
      <c r="E140" s="27"/>
      <c r="F140" s="27"/>
      <c r="G140" s="27"/>
      <c r="H140" s="27"/>
      <c r="I140" s="27"/>
      <c r="J140" s="27"/>
      <c r="K140" s="27"/>
      <c r="L140" s="27"/>
      <c r="M140" s="56">
        <f>M138+M139</f>
        <v>0</v>
      </c>
      <c r="N140" s="27"/>
      <c r="O140" s="6"/>
    </row>
    <row r="141" spans="1:15" ht="16.2" thickBot="1" x14ac:dyDescent="0.35">
      <c r="A141" s="26"/>
      <c r="B141" s="27"/>
      <c r="C141" s="27"/>
      <c r="D141" s="27"/>
      <c r="E141" s="27"/>
      <c r="F141" s="27"/>
      <c r="G141" s="27"/>
      <c r="H141" s="27"/>
      <c r="I141" s="27"/>
      <c r="J141" s="27"/>
      <c r="K141" s="27"/>
      <c r="L141" s="27"/>
      <c r="M141" s="66"/>
      <c r="N141" s="27"/>
      <c r="O141" s="6"/>
    </row>
    <row r="142" spans="1:15" ht="15.6" x14ac:dyDescent="0.3">
      <c r="A142" s="2"/>
      <c r="B142" s="5"/>
      <c r="C142" s="5"/>
      <c r="D142" s="5"/>
      <c r="E142" s="5"/>
      <c r="F142" s="5"/>
      <c r="G142" s="5"/>
      <c r="H142" s="5"/>
      <c r="I142" s="5"/>
      <c r="J142" s="5"/>
      <c r="K142" s="5"/>
      <c r="L142" s="5"/>
      <c r="M142" s="53"/>
      <c r="N142" s="5"/>
      <c r="O142" s="6"/>
    </row>
    <row r="143" spans="1:15" ht="15.6" x14ac:dyDescent="0.3">
      <c r="A143" s="7"/>
      <c r="B143" s="127" t="s">
        <v>79</v>
      </c>
      <c r="C143" s="15"/>
      <c r="D143" s="15"/>
      <c r="E143" s="9"/>
      <c r="F143" s="9"/>
      <c r="G143" s="9"/>
      <c r="H143" s="9"/>
      <c r="I143" s="9"/>
      <c r="J143" s="9"/>
      <c r="K143" s="9"/>
      <c r="L143" s="9"/>
      <c r="M143" s="55"/>
      <c r="N143" s="9"/>
      <c r="O143" s="6"/>
    </row>
    <row r="144" spans="1:15" ht="15.6" x14ac:dyDescent="0.3">
      <c r="A144" s="7"/>
      <c r="B144" s="23"/>
      <c r="C144" s="15"/>
      <c r="D144" s="15"/>
      <c r="E144" s="9"/>
      <c r="F144" s="9"/>
      <c r="G144" s="9"/>
      <c r="H144" s="9"/>
      <c r="I144" s="9"/>
      <c r="J144" s="9"/>
      <c r="K144" s="9"/>
      <c r="L144" s="9"/>
      <c r="M144" s="55"/>
      <c r="N144" s="9"/>
      <c r="O144" s="6"/>
    </row>
    <row r="145" spans="1:16" ht="15.6" x14ac:dyDescent="0.3">
      <c r="A145" s="26"/>
      <c r="B145" s="27" t="s">
        <v>188</v>
      </c>
      <c r="C145" s="71"/>
      <c r="D145" s="71"/>
      <c r="E145" s="27"/>
      <c r="F145" s="27"/>
      <c r="G145" s="27"/>
      <c r="H145" s="27"/>
      <c r="I145" s="27"/>
      <c r="J145" s="27"/>
      <c r="K145" s="27"/>
      <c r="L145" s="27"/>
      <c r="M145" s="56">
        <f>+M63+M73+M74</f>
        <v>300000</v>
      </c>
      <c r="N145" s="27"/>
      <c r="O145" s="6"/>
      <c r="P145" s="117"/>
    </row>
    <row r="146" spans="1:16" ht="15.6" x14ac:dyDescent="0.3">
      <c r="A146" s="26"/>
      <c r="B146" s="27" t="s">
        <v>80</v>
      </c>
      <c r="C146" s="71"/>
      <c r="D146" s="71"/>
      <c r="E146" s="27"/>
      <c r="F146" s="27"/>
      <c r="G146" s="27"/>
      <c r="H146" s="27"/>
      <c r="I146" s="27"/>
      <c r="J146" s="27"/>
      <c r="K146" s="27"/>
      <c r="L146" s="27"/>
      <c r="M146" s="56">
        <f>M76</f>
        <v>300000</v>
      </c>
      <c r="N146" s="27"/>
      <c r="O146" s="6"/>
    </row>
    <row r="147" spans="1:16" ht="16.2" thickBot="1" x14ac:dyDescent="0.35">
      <c r="A147" s="26"/>
      <c r="B147" s="27"/>
      <c r="C147" s="27"/>
      <c r="D147" s="27"/>
      <c r="E147" s="27"/>
      <c r="F147" s="27"/>
      <c r="G147" s="27"/>
      <c r="H147" s="27"/>
      <c r="I147" s="27"/>
      <c r="J147" s="27"/>
      <c r="K147" s="27"/>
      <c r="L147" s="27"/>
      <c r="M147" s="66"/>
      <c r="N147" s="27"/>
      <c r="O147" s="6"/>
    </row>
    <row r="148" spans="1:16" ht="15.6" x14ac:dyDescent="0.3">
      <c r="A148" s="2"/>
      <c r="B148" s="5"/>
      <c r="C148" s="5"/>
      <c r="D148" s="5"/>
      <c r="E148" s="5"/>
      <c r="F148" s="5"/>
      <c r="G148" s="5"/>
      <c r="H148" s="5"/>
      <c r="I148" s="5"/>
      <c r="J148" s="5"/>
      <c r="K148" s="5"/>
      <c r="L148" s="5"/>
      <c r="M148" s="53"/>
      <c r="N148" s="5"/>
      <c r="O148" s="6"/>
    </row>
    <row r="149" spans="1:16" ht="15.6" x14ac:dyDescent="0.3">
      <c r="A149" s="7"/>
      <c r="B149" s="127" t="s">
        <v>81</v>
      </c>
      <c r="C149" s="119"/>
      <c r="D149" s="119"/>
      <c r="E149" s="125"/>
      <c r="F149" s="125"/>
      <c r="G149" s="125"/>
      <c r="H149" s="125"/>
      <c r="I149" s="128" t="s">
        <v>127</v>
      </c>
      <c r="J149" s="128"/>
      <c r="K149" s="128" t="s">
        <v>134</v>
      </c>
      <c r="L149" s="119"/>
      <c r="M149" s="129" t="s">
        <v>144</v>
      </c>
      <c r="N149" s="11"/>
      <c r="O149" s="6"/>
    </row>
    <row r="150" spans="1:16" ht="15.6" x14ac:dyDescent="0.3">
      <c r="A150" s="26"/>
      <c r="B150" s="27" t="s">
        <v>82</v>
      </c>
      <c r="C150" s="27"/>
      <c r="D150" s="27"/>
      <c r="E150" s="27"/>
      <c r="F150" s="27"/>
      <c r="G150" s="27"/>
      <c r="H150" s="27"/>
      <c r="I150" s="56">
        <v>15000</v>
      </c>
      <c r="J150" s="27"/>
      <c r="K150" s="153">
        <v>4</v>
      </c>
      <c r="L150" s="27"/>
      <c r="M150" s="56">
        <v>15000</v>
      </c>
      <c r="N150" s="27"/>
      <c r="O150" s="6"/>
    </row>
    <row r="151" spans="1:16" ht="15.6" x14ac:dyDescent="0.3">
      <c r="A151" s="26"/>
      <c r="B151" s="27" t="s">
        <v>83</v>
      </c>
      <c r="C151" s="27"/>
      <c r="D151" s="27"/>
      <c r="E151" s="27"/>
      <c r="F151" s="27"/>
      <c r="G151" s="27"/>
      <c r="H151" s="27"/>
      <c r="I151" s="56">
        <f>+'July 2005'!I153</f>
        <v>639</v>
      </c>
      <c r="J151" s="27"/>
      <c r="K151" s="56">
        <v>0</v>
      </c>
      <c r="L151" s="27"/>
      <c r="M151" s="56">
        <f>K151+I151</f>
        <v>639</v>
      </c>
      <c r="N151" s="27"/>
      <c r="O151" s="6"/>
    </row>
    <row r="152" spans="1:16" ht="15.6" x14ac:dyDescent="0.3">
      <c r="A152" s="26"/>
      <c r="B152" s="27" t="s">
        <v>84</v>
      </c>
      <c r="C152" s="27"/>
      <c r="D152" s="27"/>
      <c r="E152" s="27"/>
      <c r="F152" s="27"/>
      <c r="G152" s="27"/>
      <c r="H152" s="27"/>
      <c r="I152" s="37">
        <v>555</v>
      </c>
      <c r="J152" s="27"/>
      <c r="K152" s="27">
        <v>0</v>
      </c>
      <c r="L152" s="27"/>
      <c r="M152" s="56">
        <f>K152+I152</f>
        <v>555</v>
      </c>
      <c r="N152" s="27"/>
      <c r="O152" s="6"/>
    </row>
    <row r="153" spans="1:16" ht="15.6" x14ac:dyDescent="0.3">
      <c r="A153" s="26"/>
      <c r="B153" s="27" t="s">
        <v>85</v>
      </c>
      <c r="C153" s="27"/>
      <c r="D153" s="27"/>
      <c r="E153" s="27"/>
      <c r="F153" s="27"/>
      <c r="G153" s="27"/>
      <c r="H153" s="27"/>
      <c r="I153" s="56">
        <f>I151+I152</f>
        <v>1194</v>
      </c>
      <c r="J153" s="27"/>
      <c r="K153" s="56">
        <f>K152+K151</f>
        <v>0</v>
      </c>
      <c r="L153" s="27"/>
      <c r="M153" s="56">
        <f>K153+I153</f>
        <v>1194</v>
      </c>
      <c r="N153" s="27"/>
      <c r="O153" s="6"/>
    </row>
    <row r="154" spans="1:16" ht="15.6" x14ac:dyDescent="0.3">
      <c r="A154" s="26"/>
      <c r="B154" s="27" t="s">
        <v>86</v>
      </c>
      <c r="C154" s="27"/>
      <c r="D154" s="27"/>
      <c r="E154" s="27"/>
      <c r="F154" s="27"/>
      <c r="G154" s="27"/>
      <c r="H154" s="27"/>
      <c r="I154" s="56">
        <f>I150-I153-K153</f>
        <v>13806</v>
      </c>
      <c r="J154" s="27"/>
      <c r="K154" s="43">
        <v>0</v>
      </c>
      <c r="L154" s="27"/>
      <c r="M154" s="56"/>
      <c r="N154" s="27"/>
      <c r="O154" s="6"/>
    </row>
    <row r="155" spans="1:16" ht="16.2" thickBot="1" x14ac:dyDescent="0.35">
      <c r="A155" s="26"/>
      <c r="B155" s="27"/>
      <c r="C155" s="27"/>
      <c r="D155" s="27"/>
      <c r="E155" s="27"/>
      <c r="F155" s="27"/>
      <c r="G155" s="27"/>
      <c r="H155" s="27"/>
      <c r="I155" s="27"/>
      <c r="J155" s="27"/>
      <c r="K155" s="27"/>
      <c r="L155" s="27"/>
      <c r="M155" s="66"/>
      <c r="N155" s="27"/>
      <c r="O155" s="6"/>
    </row>
    <row r="156" spans="1:16" ht="15.6" x14ac:dyDescent="0.3">
      <c r="A156" s="2"/>
      <c r="B156" s="5"/>
      <c r="C156" s="5"/>
      <c r="D156" s="5"/>
      <c r="E156" s="5"/>
      <c r="F156" s="5"/>
      <c r="G156" s="5"/>
      <c r="H156" s="5"/>
      <c r="I156" s="5"/>
      <c r="J156" s="5"/>
      <c r="K156" s="5"/>
      <c r="L156" s="5"/>
      <c r="M156" s="53"/>
      <c r="N156" s="5"/>
      <c r="O156" s="6"/>
    </row>
    <row r="157" spans="1:16" ht="15.6" x14ac:dyDescent="0.3">
      <c r="A157" s="7"/>
      <c r="B157" s="127" t="s">
        <v>87</v>
      </c>
      <c r="C157" s="15"/>
      <c r="D157" s="15"/>
      <c r="E157" s="9"/>
      <c r="F157" s="9"/>
      <c r="G157" s="9"/>
      <c r="H157" s="9"/>
      <c r="I157" s="9"/>
      <c r="J157" s="9"/>
      <c r="K157" s="9"/>
      <c r="L157" s="9"/>
      <c r="M157" s="72"/>
      <c r="N157" s="9"/>
      <c r="O157" s="6"/>
    </row>
    <row r="158" spans="1:16" ht="15.6" x14ac:dyDescent="0.3">
      <c r="A158" s="26"/>
      <c r="B158" s="27" t="s">
        <v>88</v>
      </c>
      <c r="C158" s="27"/>
      <c r="D158" s="27"/>
      <c r="E158" s="27"/>
      <c r="F158" s="27"/>
      <c r="G158" s="27"/>
      <c r="H158" s="27"/>
      <c r="I158" s="27"/>
      <c r="J158" s="27"/>
      <c r="K158" s="27"/>
      <c r="L158" s="27"/>
      <c r="M158" s="63">
        <f>(M86+M88+M89+M90+M91)/-M92</f>
        <v>2.8679583781844276</v>
      </c>
      <c r="N158" s="27" t="s">
        <v>145</v>
      </c>
      <c r="O158" s="6"/>
    </row>
    <row r="159" spans="1:16" ht="15.6" x14ac:dyDescent="0.3">
      <c r="A159" s="26"/>
      <c r="B159" s="27" t="s">
        <v>89</v>
      </c>
      <c r="C159" s="27"/>
      <c r="D159" s="27"/>
      <c r="E159" s="27"/>
      <c r="F159" s="27"/>
      <c r="G159" s="27"/>
      <c r="H159" s="27"/>
      <c r="I159" s="27"/>
      <c r="J159" s="27"/>
      <c r="K159" s="27"/>
      <c r="L159" s="27"/>
      <c r="M159" s="73">
        <v>2.34</v>
      </c>
      <c r="N159" s="27" t="s">
        <v>145</v>
      </c>
      <c r="O159" s="6"/>
    </row>
    <row r="160" spans="1:16" ht="15.6" x14ac:dyDescent="0.3">
      <c r="A160" s="26"/>
      <c r="B160" s="27" t="s">
        <v>90</v>
      </c>
      <c r="C160" s="27"/>
      <c r="D160" s="27"/>
      <c r="E160" s="27"/>
      <c r="F160" s="27"/>
      <c r="G160" s="27"/>
      <c r="H160" s="27"/>
      <c r="I160" s="27"/>
      <c r="J160" s="27"/>
      <c r="K160" s="27"/>
      <c r="L160" s="27"/>
      <c r="M160" s="63">
        <f>(M86+M88+M89+M90+M91+M92)/-M93</f>
        <v>9.214159292035399</v>
      </c>
      <c r="N160" s="27" t="s">
        <v>145</v>
      </c>
      <c r="O160" s="6"/>
    </row>
    <row r="161" spans="1:15" ht="15.6" x14ac:dyDescent="0.3">
      <c r="A161" s="26"/>
      <c r="B161" s="27" t="s">
        <v>91</v>
      </c>
      <c r="C161" s="27"/>
      <c r="D161" s="27"/>
      <c r="E161" s="27"/>
      <c r="F161" s="27"/>
      <c r="G161" s="27"/>
      <c r="H161" s="27"/>
      <c r="I161" s="27"/>
      <c r="J161" s="27"/>
      <c r="K161" s="27"/>
      <c r="L161" s="27"/>
      <c r="M161" s="74">
        <v>6.63</v>
      </c>
      <c r="N161" s="27" t="s">
        <v>145</v>
      </c>
      <c r="O161" s="6"/>
    </row>
    <row r="162" spans="1:15" ht="15.6" x14ac:dyDescent="0.3">
      <c r="A162" s="26"/>
      <c r="B162" s="27" t="s">
        <v>181</v>
      </c>
      <c r="C162" s="27"/>
      <c r="D162" s="27"/>
      <c r="E162" s="27"/>
      <c r="F162" s="27"/>
      <c r="G162" s="27"/>
      <c r="H162" s="27"/>
      <c r="I162" s="27"/>
      <c r="J162" s="27"/>
      <c r="K162" s="27"/>
      <c r="L162" s="27"/>
      <c r="M162" s="63">
        <f>(M86+M88+M89+M90+M91+M92+M93)/-M94</f>
        <v>12.213157894736842</v>
      </c>
      <c r="N162" s="27" t="s">
        <v>145</v>
      </c>
      <c r="O162" s="6"/>
    </row>
    <row r="163" spans="1:15" ht="15.6" x14ac:dyDescent="0.3">
      <c r="A163" s="26"/>
      <c r="B163" s="27" t="s">
        <v>182</v>
      </c>
      <c r="C163" s="27"/>
      <c r="D163" s="27"/>
      <c r="E163" s="27"/>
      <c r="F163" s="27"/>
      <c r="G163" s="27"/>
      <c r="H163" s="27"/>
      <c r="I163" s="27"/>
      <c r="J163" s="27"/>
      <c r="K163" s="27"/>
      <c r="L163" s="27"/>
      <c r="M163" s="74">
        <v>8.3699999999999992</v>
      </c>
      <c r="N163" s="27" t="s">
        <v>145</v>
      </c>
      <c r="O163" s="6"/>
    </row>
    <row r="164" spans="1:15" ht="15.6" x14ac:dyDescent="0.3">
      <c r="A164" s="26"/>
      <c r="B164" s="27"/>
      <c r="C164" s="27"/>
      <c r="D164" s="27"/>
      <c r="E164" s="27"/>
      <c r="F164" s="27"/>
      <c r="G164" s="27"/>
      <c r="H164" s="27"/>
      <c r="I164" s="27"/>
      <c r="J164" s="27"/>
      <c r="K164" s="27"/>
      <c r="L164" s="27"/>
      <c r="M164" s="27"/>
      <c r="N164" s="27"/>
      <c r="O164" s="6"/>
    </row>
    <row r="165" spans="1:15" ht="15.6" x14ac:dyDescent="0.3">
      <c r="A165" s="26"/>
      <c r="B165" s="27"/>
      <c r="C165" s="27"/>
      <c r="D165" s="27"/>
      <c r="E165" s="27"/>
      <c r="F165" s="27"/>
      <c r="G165" s="27"/>
      <c r="H165" s="27"/>
      <c r="I165" s="27"/>
      <c r="J165" s="27"/>
      <c r="K165" s="27"/>
      <c r="L165" s="27"/>
      <c r="M165" s="27"/>
      <c r="N165" s="27"/>
      <c r="O165" s="6"/>
    </row>
    <row r="166" spans="1:15" ht="15.6" x14ac:dyDescent="0.3">
      <c r="A166" s="7"/>
      <c r="B166" s="9"/>
      <c r="C166" s="9"/>
      <c r="D166" s="9"/>
      <c r="E166" s="9"/>
      <c r="F166" s="9"/>
      <c r="G166" s="9"/>
      <c r="H166" s="9"/>
      <c r="I166" s="9"/>
      <c r="J166" s="9"/>
      <c r="K166" s="9"/>
      <c r="L166" s="9"/>
      <c r="M166" s="9"/>
      <c r="N166" s="9"/>
      <c r="O166" s="6"/>
    </row>
    <row r="167" spans="1:15" ht="18" thickBot="1" x14ac:dyDescent="0.35">
      <c r="A167" s="109"/>
      <c r="B167" s="110" t="str">
        <f>B113</f>
        <v>PSF1 INVESTOR REPORT QUARTER ENDING OCTOBER 2005</v>
      </c>
      <c r="C167" s="144"/>
      <c r="D167" s="144"/>
      <c r="E167" s="144"/>
      <c r="F167" s="144"/>
      <c r="G167" s="144"/>
      <c r="H167" s="144"/>
      <c r="I167" s="144"/>
      <c r="J167" s="144"/>
      <c r="K167" s="144"/>
      <c r="L167" s="144"/>
      <c r="M167" s="144"/>
      <c r="N167" s="145"/>
      <c r="O167" s="6"/>
    </row>
    <row r="168" spans="1:15" ht="15.6" x14ac:dyDescent="0.3">
      <c r="A168" s="75"/>
      <c r="B168" s="64" t="s">
        <v>92</v>
      </c>
      <c r="C168" s="76"/>
      <c r="D168" s="76"/>
      <c r="E168" s="76"/>
      <c r="F168" s="76"/>
      <c r="G168" s="76"/>
      <c r="H168" s="77"/>
      <c r="I168" s="77"/>
      <c r="J168" s="77"/>
      <c r="K168" s="78">
        <f>D81</f>
        <v>38656</v>
      </c>
      <c r="L168" s="5"/>
      <c r="M168" s="5"/>
      <c r="N168" s="5"/>
      <c r="O168" s="6"/>
    </row>
    <row r="169" spans="1:15" ht="15.6" x14ac:dyDescent="0.3">
      <c r="A169" s="79"/>
      <c r="B169" s="80"/>
      <c r="C169" s="81"/>
      <c r="D169" s="81"/>
      <c r="E169" s="81"/>
      <c r="F169" s="81"/>
      <c r="G169" s="81"/>
      <c r="H169" s="82"/>
      <c r="I169" s="82"/>
      <c r="J169" s="82"/>
      <c r="K169" s="82"/>
      <c r="L169" s="9"/>
      <c r="M169" s="9"/>
      <c r="N169" s="9"/>
      <c r="O169" s="6"/>
    </row>
    <row r="170" spans="1:15" ht="15.6" x14ac:dyDescent="0.3">
      <c r="A170" s="83"/>
      <c r="B170" s="84" t="s">
        <v>93</v>
      </c>
      <c r="C170" s="85"/>
      <c r="D170" s="85"/>
      <c r="E170" s="85"/>
      <c r="F170" s="85"/>
      <c r="G170" s="85"/>
      <c r="H170" s="70"/>
      <c r="I170" s="70"/>
      <c r="J170" s="70"/>
      <c r="K170" s="86">
        <v>9.4600000000000004E-2</v>
      </c>
      <c r="L170" s="27"/>
      <c r="M170" s="27"/>
      <c r="N170" s="27"/>
      <c r="O170" s="6"/>
    </row>
    <row r="171" spans="1:15" ht="15.6" x14ac:dyDescent="0.3">
      <c r="A171" s="83"/>
      <c r="B171" s="84" t="s">
        <v>94</v>
      </c>
      <c r="C171" s="85"/>
      <c r="D171" s="85"/>
      <c r="E171" s="85"/>
      <c r="F171" s="85"/>
      <c r="G171" s="85"/>
      <c r="H171" s="70"/>
      <c r="I171" s="70"/>
      <c r="J171" s="70"/>
      <c r="K171" s="42">
        <v>5.2327499999999992E-2</v>
      </c>
      <c r="L171" s="27"/>
      <c r="M171" s="27"/>
      <c r="N171" s="27"/>
      <c r="O171" s="6"/>
    </row>
    <row r="172" spans="1:15" ht="15.6" x14ac:dyDescent="0.3">
      <c r="A172" s="83"/>
      <c r="B172" s="84" t="s">
        <v>95</v>
      </c>
      <c r="C172" s="85"/>
      <c r="D172" s="85"/>
      <c r="E172" s="85"/>
      <c r="F172" s="85"/>
      <c r="G172" s="85"/>
      <c r="H172" s="70"/>
      <c r="I172" s="70"/>
      <c r="J172" s="70"/>
      <c r="K172" s="86">
        <f>K170-K171</f>
        <v>4.2272500000000011E-2</v>
      </c>
      <c r="L172" s="27"/>
      <c r="M172" s="27"/>
      <c r="N172" s="27"/>
      <c r="O172" s="6"/>
    </row>
    <row r="173" spans="1:15" ht="15.6" x14ac:dyDescent="0.3">
      <c r="A173" s="83"/>
      <c r="B173" s="84" t="s">
        <v>96</v>
      </c>
      <c r="C173" s="85"/>
      <c r="D173" s="85"/>
      <c r="E173" s="85"/>
      <c r="F173" s="85"/>
      <c r="G173" s="85"/>
      <c r="H173" s="70"/>
      <c r="I173" s="70"/>
      <c r="J173" s="70"/>
      <c r="K173" s="86">
        <v>9.1800000000000007E-2</v>
      </c>
      <c r="L173" s="27"/>
      <c r="M173" s="27"/>
      <c r="N173" s="27"/>
      <c r="O173" s="6"/>
    </row>
    <row r="174" spans="1:15" ht="15.6" x14ac:dyDescent="0.3">
      <c r="A174" s="83"/>
      <c r="B174" s="84" t="s">
        <v>97</v>
      </c>
      <c r="C174" s="85"/>
      <c r="D174" s="85"/>
      <c r="E174" s="85"/>
      <c r="F174" s="85"/>
      <c r="G174" s="85"/>
      <c r="H174" s="70"/>
      <c r="I174" s="70"/>
      <c r="J174" s="70"/>
      <c r="K174" s="86">
        <f>M36</f>
        <v>4.9352500000000007E-2</v>
      </c>
      <c r="L174" s="27"/>
      <c r="M174" s="27"/>
      <c r="N174" s="27"/>
      <c r="O174" s="6"/>
    </row>
    <row r="175" spans="1:15" ht="15.6" x14ac:dyDescent="0.3">
      <c r="A175" s="83"/>
      <c r="B175" s="84" t="s">
        <v>98</v>
      </c>
      <c r="C175" s="85"/>
      <c r="D175" s="85"/>
      <c r="E175" s="85"/>
      <c r="F175" s="85"/>
      <c r="G175" s="85"/>
      <c r="H175" s="70"/>
      <c r="I175" s="70"/>
      <c r="J175" s="70"/>
      <c r="K175" s="86">
        <f>K173-K174</f>
        <v>4.2447499999999999E-2</v>
      </c>
      <c r="L175" s="27"/>
      <c r="M175" s="27"/>
      <c r="N175" s="27"/>
      <c r="O175" s="6"/>
    </row>
    <row r="176" spans="1:15" ht="15.6" x14ac:dyDescent="0.3">
      <c r="A176" s="83"/>
      <c r="B176" s="84" t="s">
        <v>211</v>
      </c>
      <c r="C176" s="85"/>
      <c r="D176" s="85"/>
      <c r="E176" s="85"/>
      <c r="F176" s="85"/>
      <c r="G176" s="85"/>
      <c r="H176" s="70"/>
      <c r="I176" s="70"/>
      <c r="J176" s="70"/>
      <c r="K176" s="86">
        <f>(+M86+M88)/E59</f>
        <v>3.0238413985173757E-2</v>
      </c>
      <c r="L176" s="27"/>
      <c r="M176" s="27"/>
      <c r="N176" s="27"/>
      <c r="O176" s="6"/>
    </row>
    <row r="177" spans="1:15" ht="15.6" x14ac:dyDescent="0.3">
      <c r="A177" s="83"/>
      <c r="B177" s="84" t="s">
        <v>99</v>
      </c>
      <c r="C177" s="85"/>
      <c r="D177" s="85"/>
      <c r="E177" s="85"/>
      <c r="F177" s="85"/>
      <c r="G177" s="85"/>
      <c r="H177" s="70"/>
      <c r="I177" s="70"/>
      <c r="J177" s="70"/>
      <c r="K177" s="139">
        <v>49628</v>
      </c>
      <c r="L177" s="27"/>
      <c r="M177" s="27"/>
      <c r="N177" s="27"/>
      <c r="O177" s="6"/>
    </row>
    <row r="178" spans="1:15" ht="15.6" x14ac:dyDescent="0.3">
      <c r="A178" s="83"/>
      <c r="B178" s="84" t="s">
        <v>100</v>
      </c>
      <c r="C178" s="85"/>
      <c r="D178" s="85"/>
      <c r="E178" s="85"/>
      <c r="F178" s="85"/>
      <c r="G178" s="85"/>
      <c r="H178" s="70"/>
      <c r="I178" s="70"/>
      <c r="J178" s="70"/>
      <c r="K178" s="139">
        <v>49628</v>
      </c>
      <c r="L178" s="27"/>
      <c r="M178" s="27"/>
      <c r="N178" s="27"/>
      <c r="O178" s="6"/>
    </row>
    <row r="179" spans="1:15" ht="15.6" x14ac:dyDescent="0.3">
      <c r="A179" s="83"/>
      <c r="B179" s="84" t="s">
        <v>165</v>
      </c>
      <c r="C179" s="85"/>
      <c r="D179" s="85"/>
      <c r="E179" s="85"/>
      <c r="F179" s="85"/>
      <c r="G179" s="85"/>
      <c r="H179" s="70"/>
      <c r="I179" s="70"/>
      <c r="J179" s="70"/>
      <c r="K179" s="139">
        <v>49628</v>
      </c>
      <c r="L179" s="27"/>
      <c r="M179" s="27"/>
      <c r="N179" s="27"/>
      <c r="O179" s="6"/>
    </row>
    <row r="180" spans="1:15" ht="15.6" x14ac:dyDescent="0.3">
      <c r="A180" s="83"/>
      <c r="B180" s="84" t="s">
        <v>101</v>
      </c>
      <c r="C180" s="85"/>
      <c r="D180" s="85"/>
      <c r="E180" s="85"/>
      <c r="F180" s="85"/>
      <c r="G180" s="85"/>
      <c r="H180" s="70"/>
      <c r="I180" s="70"/>
      <c r="J180" s="70"/>
      <c r="K180" s="135">
        <v>15.78</v>
      </c>
      <c r="L180" s="27" t="s">
        <v>139</v>
      </c>
      <c r="M180" s="27"/>
      <c r="N180" s="27"/>
      <c r="O180" s="6"/>
    </row>
    <row r="181" spans="1:15" ht="15.6" x14ac:dyDescent="0.3">
      <c r="A181" s="83"/>
      <c r="B181" s="84" t="s">
        <v>102</v>
      </c>
      <c r="C181" s="85"/>
      <c r="D181" s="85"/>
      <c r="E181" s="85"/>
      <c r="F181" s="85"/>
      <c r="G181" s="85"/>
      <c r="H181" s="70"/>
      <c r="I181" s="70"/>
      <c r="J181" s="70"/>
      <c r="K181" s="135">
        <v>16.010000000000002</v>
      </c>
      <c r="L181" s="27" t="s">
        <v>139</v>
      </c>
      <c r="M181" s="27"/>
      <c r="N181" s="27"/>
      <c r="O181" s="6"/>
    </row>
    <row r="182" spans="1:15" ht="15.6" x14ac:dyDescent="0.3">
      <c r="A182" s="83"/>
      <c r="B182" s="84" t="s">
        <v>103</v>
      </c>
      <c r="C182" s="85"/>
      <c r="D182" s="85"/>
      <c r="E182" s="85"/>
      <c r="F182" s="85"/>
      <c r="G182" s="85"/>
      <c r="H182" s="70"/>
      <c r="I182" s="70"/>
      <c r="J182" s="70"/>
      <c r="K182" s="138">
        <f>K81/E59</f>
        <v>0.12672765772815095</v>
      </c>
      <c r="L182" s="27"/>
      <c r="M182" s="27"/>
      <c r="N182" s="27"/>
      <c r="O182" s="6"/>
    </row>
    <row r="183" spans="1:15" ht="15.6" x14ac:dyDescent="0.3">
      <c r="A183" s="83"/>
      <c r="B183" s="84" t="s">
        <v>104</v>
      </c>
      <c r="C183" s="85"/>
      <c r="D183" s="85"/>
      <c r="E183" s="85"/>
      <c r="F183" s="85"/>
      <c r="G183" s="85"/>
      <c r="H183" s="70"/>
      <c r="I183" s="70"/>
      <c r="J183" s="70"/>
      <c r="K183" s="86">
        <v>0.3881</v>
      </c>
      <c r="L183" s="27"/>
      <c r="M183" s="27"/>
      <c r="N183" s="27"/>
      <c r="O183" s="6"/>
    </row>
    <row r="184" spans="1:15" ht="15.6" x14ac:dyDescent="0.3">
      <c r="A184" s="83"/>
      <c r="B184" s="84"/>
      <c r="C184" s="84"/>
      <c r="D184" s="84"/>
      <c r="E184" s="84"/>
      <c r="F184" s="84"/>
      <c r="G184" s="84"/>
      <c r="H184" s="27"/>
      <c r="I184" s="27"/>
      <c r="J184" s="27"/>
      <c r="K184" s="66"/>
      <c r="L184" s="27"/>
      <c r="M184" s="87"/>
      <c r="N184" s="27"/>
      <c r="O184" s="6"/>
    </row>
    <row r="185" spans="1:15" ht="15.6" x14ac:dyDescent="0.3">
      <c r="A185" s="88"/>
      <c r="B185" s="16" t="s">
        <v>105</v>
      </c>
      <c r="C185" s="89"/>
      <c r="D185" s="89"/>
      <c r="E185" s="90"/>
      <c r="F185" s="89"/>
      <c r="G185" s="90"/>
      <c r="H185" s="89"/>
      <c r="I185" s="90"/>
      <c r="J185" s="19" t="s">
        <v>128</v>
      </c>
      <c r="K185" s="91" t="s">
        <v>135</v>
      </c>
      <c r="L185" s="9"/>
      <c r="M185" s="9"/>
      <c r="N185" s="9"/>
      <c r="O185" s="6"/>
    </row>
    <row r="186" spans="1:15" ht="15.6" x14ac:dyDescent="0.3">
      <c r="A186" s="92"/>
      <c r="B186" s="84" t="s">
        <v>106</v>
      </c>
      <c r="C186" s="57"/>
      <c r="D186" s="57"/>
      <c r="E186" s="57"/>
      <c r="F186" s="57"/>
      <c r="G186" s="27"/>
      <c r="H186" s="27"/>
      <c r="I186" s="27"/>
      <c r="J186" s="33">
        <v>477</v>
      </c>
      <c r="K186" s="93">
        <v>13619</v>
      </c>
      <c r="L186" s="27"/>
      <c r="M186" s="87"/>
      <c r="N186" s="94"/>
      <c r="O186" s="6"/>
    </row>
    <row r="187" spans="1:15" ht="15.6" x14ac:dyDescent="0.3">
      <c r="A187" s="92"/>
      <c r="B187" s="84" t="s">
        <v>196</v>
      </c>
      <c r="C187" s="57"/>
      <c r="D187" s="57"/>
      <c r="E187" s="57"/>
      <c r="F187" s="57"/>
      <c r="G187" s="27"/>
      <c r="H187" s="27"/>
      <c r="I187" s="27"/>
      <c r="J187" s="33">
        <v>9</v>
      </c>
      <c r="K187" s="93">
        <v>239</v>
      </c>
      <c r="L187" s="27"/>
      <c r="M187" s="87"/>
      <c r="N187" s="94"/>
      <c r="O187" s="6"/>
    </row>
    <row r="188" spans="1:15" ht="15.6" x14ac:dyDescent="0.3">
      <c r="A188" s="92"/>
      <c r="B188" s="130" t="s">
        <v>107</v>
      </c>
      <c r="C188" s="57"/>
      <c r="D188" s="57"/>
      <c r="E188" s="57"/>
      <c r="F188" s="57"/>
      <c r="G188" s="27"/>
      <c r="H188" s="27"/>
      <c r="I188" s="27"/>
      <c r="J188" s="27"/>
      <c r="K188" s="93">
        <v>0</v>
      </c>
      <c r="L188" s="27"/>
      <c r="M188" s="87"/>
      <c r="N188" s="94"/>
      <c r="O188" s="6"/>
    </row>
    <row r="189" spans="1:15" ht="15.6" x14ac:dyDescent="0.3">
      <c r="A189" s="92"/>
      <c r="B189" s="130" t="s">
        <v>108</v>
      </c>
      <c r="C189" s="57"/>
      <c r="D189" s="57"/>
      <c r="E189" s="57"/>
      <c r="F189" s="57"/>
      <c r="G189" s="27"/>
      <c r="H189" s="27"/>
      <c r="I189" s="27"/>
      <c r="J189" s="27"/>
      <c r="K189" s="93">
        <f>+I59</f>
        <v>26502</v>
      </c>
      <c r="L189" s="27"/>
      <c r="M189" s="87"/>
      <c r="N189" s="94"/>
      <c r="O189" s="6"/>
    </row>
    <row r="190" spans="1:15" ht="15.6" x14ac:dyDescent="0.3">
      <c r="A190" s="95"/>
      <c r="B190" s="130" t="s">
        <v>109</v>
      </c>
      <c r="C190" s="57"/>
      <c r="D190" s="57"/>
      <c r="E190" s="84"/>
      <c r="F190" s="84"/>
      <c r="G190" s="84"/>
      <c r="H190" s="27"/>
      <c r="I190" s="27"/>
      <c r="J190" s="27"/>
      <c r="K190" s="93"/>
      <c r="L190" s="27"/>
      <c r="M190" s="87"/>
      <c r="N190" s="96"/>
      <c r="O190" s="6"/>
    </row>
    <row r="191" spans="1:15" ht="15.6" x14ac:dyDescent="0.3">
      <c r="A191" s="95"/>
      <c r="B191" s="131" t="s">
        <v>110</v>
      </c>
      <c r="C191" s="57"/>
      <c r="D191" s="57"/>
      <c r="E191" s="84"/>
      <c r="F191" s="84"/>
      <c r="G191" s="84"/>
      <c r="H191" s="27"/>
      <c r="I191" s="27"/>
      <c r="J191" s="27"/>
      <c r="K191" s="93">
        <f>+M138</f>
        <v>491</v>
      </c>
      <c r="L191" s="27"/>
      <c r="M191" s="87"/>
      <c r="N191" s="96"/>
      <c r="O191" s="6"/>
    </row>
    <row r="192" spans="1:15" ht="15.6" x14ac:dyDescent="0.3">
      <c r="A192" s="92"/>
      <c r="B192" s="84" t="s">
        <v>111</v>
      </c>
      <c r="C192" s="57"/>
      <c r="D192" s="57"/>
      <c r="E192" s="57"/>
      <c r="F192" s="57"/>
      <c r="G192" s="57"/>
      <c r="H192" s="27"/>
      <c r="I192" s="27"/>
      <c r="J192" s="27"/>
      <c r="K192" s="93">
        <f>+'July 2005'!K192+'Oct 2005'!K191</f>
        <v>1375</v>
      </c>
      <c r="L192" s="27"/>
      <c r="M192" s="87"/>
      <c r="N192" s="96"/>
      <c r="O192" s="6"/>
    </row>
    <row r="193" spans="1:15" ht="15.6" x14ac:dyDescent="0.3">
      <c r="A193" s="92"/>
      <c r="B193" s="84" t="s">
        <v>112</v>
      </c>
      <c r="C193" s="57"/>
      <c r="D193" s="57"/>
      <c r="E193" s="57"/>
      <c r="F193" s="57"/>
      <c r="G193" s="57"/>
      <c r="H193" s="27"/>
      <c r="I193" s="27"/>
      <c r="J193" s="27"/>
      <c r="K193" s="93">
        <f>+'July 2005'!K193+111</f>
        <v>181</v>
      </c>
      <c r="L193" s="27"/>
      <c r="M193" s="87"/>
      <c r="N193" s="96"/>
      <c r="O193" s="6"/>
    </row>
    <row r="194" spans="1:15" ht="15.6" x14ac:dyDescent="0.3">
      <c r="A194" s="95"/>
      <c r="B194" s="130" t="s">
        <v>241</v>
      </c>
      <c r="C194" s="57"/>
      <c r="D194" s="57"/>
      <c r="E194" s="84"/>
      <c r="F194" s="84"/>
      <c r="G194" s="84"/>
      <c r="H194" s="27"/>
      <c r="I194" s="27"/>
      <c r="J194" s="27"/>
      <c r="K194" s="93"/>
      <c r="L194" s="27"/>
      <c r="M194" s="87"/>
      <c r="N194" s="96"/>
      <c r="O194" s="6"/>
    </row>
    <row r="195" spans="1:15" ht="15.6" x14ac:dyDescent="0.3">
      <c r="A195" s="95"/>
      <c r="B195" s="84" t="s">
        <v>236</v>
      </c>
      <c r="C195" s="57"/>
      <c r="D195" s="57"/>
      <c r="E195" s="84"/>
      <c r="F195" s="84"/>
      <c r="G195" s="84"/>
      <c r="H195" s="27"/>
      <c r="I195" s="27"/>
      <c r="J195" s="27"/>
      <c r="K195" s="93">
        <v>10</v>
      </c>
      <c r="L195" s="27"/>
      <c r="M195" s="87"/>
      <c r="N195" s="96"/>
      <c r="O195" s="6"/>
    </row>
    <row r="196" spans="1:15" ht="15.6" x14ac:dyDescent="0.3">
      <c r="A196" s="92"/>
      <c r="B196" s="84" t="s">
        <v>113</v>
      </c>
      <c r="C196" s="57"/>
      <c r="D196" s="57"/>
      <c r="E196" s="97"/>
      <c r="F196" s="97"/>
      <c r="G196" s="98"/>
      <c r="H196" s="27"/>
      <c r="I196" s="27"/>
      <c r="J196" s="27"/>
      <c r="K196" s="68">
        <v>11.2</v>
      </c>
      <c r="L196" s="27"/>
      <c r="M196" s="87"/>
      <c r="N196" s="96"/>
      <c r="O196" s="6"/>
    </row>
    <row r="197" spans="1:15" ht="15.6" x14ac:dyDescent="0.3">
      <c r="A197" s="92"/>
      <c r="B197" s="84" t="s">
        <v>114</v>
      </c>
      <c r="C197" s="57"/>
      <c r="D197" s="57"/>
      <c r="E197" s="97"/>
      <c r="F197" s="97"/>
      <c r="G197" s="98"/>
      <c r="H197" s="27"/>
      <c r="I197" s="27"/>
      <c r="J197" s="27"/>
      <c r="K197" s="68">
        <v>5.0999999999999996</v>
      </c>
      <c r="L197" s="27"/>
      <c r="M197" s="87"/>
      <c r="N197" s="96"/>
      <c r="O197" s="6"/>
    </row>
    <row r="198" spans="1:15" ht="15.6" x14ac:dyDescent="0.3">
      <c r="A198" s="92"/>
      <c r="B198" s="84"/>
      <c r="C198" s="57"/>
      <c r="D198" s="57"/>
      <c r="E198" s="99"/>
      <c r="F198" s="97"/>
      <c r="G198" s="98"/>
      <c r="H198" s="27"/>
      <c r="I198" s="27"/>
      <c r="J198" s="27"/>
      <c r="K198" s="100"/>
      <c r="L198" s="27"/>
      <c r="M198" s="87"/>
      <c r="N198" s="96"/>
      <c r="O198" s="6"/>
    </row>
    <row r="199" spans="1:15" ht="17.399999999999999" x14ac:dyDescent="0.3">
      <c r="A199" s="92"/>
      <c r="B199" s="148" t="s">
        <v>200</v>
      </c>
      <c r="C199" s="57"/>
      <c r="D199" s="57"/>
      <c r="E199" s="99"/>
      <c r="F199" s="97"/>
      <c r="G199" s="98"/>
      <c r="H199" s="27"/>
      <c r="I199" s="27"/>
      <c r="J199" s="27"/>
      <c r="K199" s="151" t="s">
        <v>199</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5.6" x14ac:dyDescent="0.3">
      <c r="A201" s="7"/>
      <c r="B201" s="16" t="s">
        <v>115</v>
      </c>
      <c r="C201" s="89"/>
      <c r="D201" s="89"/>
      <c r="E201" s="90"/>
      <c r="F201" s="89"/>
      <c r="G201" s="90"/>
      <c r="H201" s="89"/>
      <c r="I201" s="91" t="s">
        <v>128</v>
      </c>
      <c r="J201" s="19" t="s">
        <v>129</v>
      </c>
      <c r="K201" s="91" t="s">
        <v>137</v>
      </c>
      <c r="L201" s="19" t="s">
        <v>129</v>
      </c>
      <c r="M201" s="9"/>
      <c r="N201" s="101"/>
      <c r="O201" s="6"/>
    </row>
    <row r="202" spans="1:15" ht="15.6" x14ac:dyDescent="0.3">
      <c r="A202" s="26"/>
      <c r="B202" s="57" t="s">
        <v>116</v>
      </c>
      <c r="C202" s="102"/>
      <c r="D202" s="102"/>
      <c r="E202" s="57"/>
      <c r="F202" s="102"/>
      <c r="G202" s="27"/>
      <c r="H202" s="102"/>
      <c r="I202" s="57">
        <v>9849</v>
      </c>
      <c r="J202" s="103">
        <f>I202/I211</f>
        <v>0.95380592678675191</v>
      </c>
      <c r="K202" s="56">
        <v>247876</v>
      </c>
      <c r="L202" s="136">
        <f>K202/K211</f>
        <v>0.94791869825426878</v>
      </c>
      <c r="M202" s="87"/>
      <c r="N202" s="96"/>
      <c r="O202" s="6"/>
    </row>
    <row r="203" spans="1:15" ht="15.6" x14ac:dyDescent="0.3">
      <c r="A203" s="26"/>
      <c r="B203" s="57" t="s">
        <v>117</v>
      </c>
      <c r="C203" s="102"/>
      <c r="D203" s="102"/>
      <c r="E203" s="57"/>
      <c r="F203" s="102"/>
      <c r="G203" s="27"/>
      <c r="H203" s="103"/>
      <c r="I203" s="57">
        <v>176</v>
      </c>
      <c r="J203" s="103">
        <f>I203/I211</f>
        <v>1.704435405771838E-2</v>
      </c>
      <c r="K203" s="56">
        <v>4748</v>
      </c>
      <c r="L203" s="136">
        <f>K203/K211</f>
        <v>1.8157134935658424E-2</v>
      </c>
      <c r="M203" s="87"/>
      <c r="N203" s="96"/>
      <c r="O203" s="6"/>
    </row>
    <row r="204" spans="1:15" ht="15.6" x14ac:dyDescent="0.3">
      <c r="A204" s="26"/>
      <c r="B204" s="57" t="s">
        <v>118</v>
      </c>
      <c r="C204" s="102"/>
      <c r="D204" s="102"/>
      <c r="E204" s="57"/>
      <c r="F204" s="102"/>
      <c r="G204" s="27"/>
      <c r="H204" s="103"/>
      <c r="I204" s="57">
        <v>96</v>
      </c>
      <c r="J204" s="103">
        <f>I204/I211</f>
        <v>9.2969203951191164E-3</v>
      </c>
      <c r="K204" s="56">
        <v>2964</v>
      </c>
      <c r="L204" s="136">
        <f>K204/K211</f>
        <v>1.1334824757643549E-2</v>
      </c>
      <c r="M204" s="87"/>
      <c r="N204" s="96"/>
      <c r="O204" s="6"/>
    </row>
    <row r="205" spans="1:15" ht="15.6" x14ac:dyDescent="0.3">
      <c r="A205" s="26"/>
      <c r="B205" s="57" t="s">
        <v>167</v>
      </c>
      <c r="C205" s="102"/>
      <c r="D205" s="102"/>
      <c r="E205" s="57"/>
      <c r="F205" s="102"/>
      <c r="G205" s="27"/>
      <c r="H205" s="103"/>
      <c r="I205" s="57">
        <v>54</v>
      </c>
      <c r="J205" s="103">
        <f>I205/I211</f>
        <v>5.2295177222545031E-3</v>
      </c>
      <c r="K205" s="56">
        <v>1572</v>
      </c>
      <c r="L205" s="136">
        <f>K205/K211</f>
        <v>6.011587219640911E-3</v>
      </c>
      <c r="M205" s="87"/>
      <c r="N205" s="96"/>
      <c r="O205" s="6"/>
    </row>
    <row r="206" spans="1:15" ht="15.6" x14ac:dyDescent="0.3">
      <c r="A206" s="26"/>
      <c r="B206" s="57" t="s">
        <v>168</v>
      </c>
      <c r="C206" s="102"/>
      <c r="D206" s="102"/>
      <c r="E206" s="57"/>
      <c r="F206" s="102"/>
      <c r="G206" s="27"/>
      <c r="H206" s="103"/>
      <c r="I206" s="57">
        <v>42</v>
      </c>
      <c r="J206" s="103">
        <f>I206/I211</f>
        <v>4.0674026728646133E-3</v>
      </c>
      <c r="K206" s="56">
        <v>969</v>
      </c>
      <c r="L206" s="136">
        <f>K206/K211</f>
        <v>3.7056157861526987E-3</v>
      </c>
      <c r="M206" s="87"/>
      <c r="N206" s="96"/>
      <c r="O206" s="6"/>
    </row>
    <row r="207" spans="1:15" ht="15.6" x14ac:dyDescent="0.3">
      <c r="A207" s="26"/>
      <c r="B207" s="57" t="s">
        <v>169</v>
      </c>
      <c r="C207" s="102"/>
      <c r="D207" s="102"/>
      <c r="E207" s="57"/>
      <c r="F207" s="102"/>
      <c r="G207" s="27"/>
      <c r="H207" s="103"/>
      <c r="I207" s="57">
        <v>32</v>
      </c>
      <c r="J207" s="103">
        <f>I207/I211</f>
        <v>3.0989734650397056E-3</v>
      </c>
      <c r="K207" s="56">
        <v>1239</v>
      </c>
      <c r="L207" s="136">
        <f>K207/K211</f>
        <v>4.7381403086101071E-3</v>
      </c>
      <c r="M207" s="87"/>
      <c r="N207" s="96"/>
      <c r="O207" s="6"/>
    </row>
    <row r="208" spans="1:15" ht="15.6" x14ac:dyDescent="0.3">
      <c r="A208" s="26"/>
      <c r="B208" s="57" t="s">
        <v>176</v>
      </c>
      <c r="C208" s="102"/>
      <c r="D208" s="102"/>
      <c r="E208" s="57"/>
      <c r="F208" s="102"/>
      <c r="G208" s="27"/>
      <c r="H208" s="103"/>
      <c r="I208" s="57">
        <v>54</v>
      </c>
      <c r="J208" s="103">
        <f>I208/I211</f>
        <v>5.2295177222545031E-3</v>
      </c>
      <c r="K208" s="56">
        <v>1604</v>
      </c>
      <c r="L208" s="136">
        <f>K208/K211</f>
        <v>6.1339604963766038E-3</v>
      </c>
      <c r="M208" s="87"/>
      <c r="N208" s="94"/>
      <c r="O208" s="6"/>
    </row>
    <row r="209" spans="1:15" ht="15.6" x14ac:dyDescent="0.3">
      <c r="A209" s="26"/>
      <c r="B209" s="57" t="s">
        <v>202</v>
      </c>
      <c r="C209" s="102"/>
      <c r="D209" s="102"/>
      <c r="E209" s="57"/>
      <c r="F209" s="102"/>
      <c r="G209" s="27"/>
      <c r="H209" s="103"/>
      <c r="I209" s="57">
        <v>23</v>
      </c>
      <c r="J209" s="103">
        <f>+I209/I211</f>
        <v>2.2273871779972883E-3</v>
      </c>
      <c r="K209" s="56">
        <v>523</v>
      </c>
      <c r="L209" s="136">
        <f>+K209/K211</f>
        <v>2.0000382416489799E-3</v>
      </c>
      <c r="M209" s="87"/>
      <c r="N209" s="94"/>
      <c r="O209" s="6"/>
    </row>
    <row r="210" spans="1:15" ht="15.6" x14ac:dyDescent="0.3">
      <c r="A210" s="26"/>
      <c r="B210" s="57" t="s">
        <v>170</v>
      </c>
      <c r="C210" s="102"/>
      <c r="D210" s="102"/>
      <c r="E210" s="57"/>
      <c r="F210" s="102"/>
      <c r="G210" s="27"/>
      <c r="H210" s="103"/>
      <c r="I210" s="57">
        <v>0</v>
      </c>
      <c r="J210" s="103">
        <f>I210/I211</f>
        <v>0</v>
      </c>
      <c r="K210" s="56">
        <v>0</v>
      </c>
      <c r="L210" s="136">
        <f>+K210/K211</f>
        <v>0</v>
      </c>
      <c r="M210" s="87"/>
      <c r="N210" s="96"/>
      <c r="O210" s="6"/>
    </row>
    <row r="211" spans="1:15" ht="15.6" x14ac:dyDescent="0.3">
      <c r="A211" s="26"/>
      <c r="B211" s="27" t="s">
        <v>189</v>
      </c>
      <c r="C211" s="27"/>
      <c r="D211" s="27"/>
      <c r="E211" s="27"/>
      <c r="F211" s="27"/>
      <c r="G211" s="27"/>
      <c r="H211" s="27"/>
      <c r="I211" s="37">
        <f>SUM(I202:I210)</f>
        <v>10326</v>
      </c>
      <c r="J211" s="136">
        <f>SUM(J202:J210)</f>
        <v>1.0000000000000002</v>
      </c>
      <c r="K211" s="56">
        <f>SUM(K202:K210)</f>
        <v>261495</v>
      </c>
      <c r="L211" s="136">
        <f>SUM(L202:L210)</f>
        <v>1</v>
      </c>
      <c r="M211" s="27"/>
      <c r="N211" s="27"/>
      <c r="O211" s="6"/>
    </row>
    <row r="212" spans="1:15" ht="15.6" x14ac:dyDescent="0.3">
      <c r="A212" s="26"/>
      <c r="B212" s="27"/>
      <c r="C212" s="27"/>
      <c r="D212" s="27"/>
      <c r="E212" s="27"/>
      <c r="F212" s="27"/>
      <c r="G212" s="27"/>
      <c r="H212" s="27"/>
      <c r="I212" s="37"/>
      <c r="J212" s="136"/>
      <c r="K212" s="56"/>
      <c r="L212" s="136"/>
      <c r="M212" s="27"/>
      <c r="N212" s="27"/>
      <c r="O212" s="6"/>
    </row>
    <row r="213" spans="1:15" ht="15.6" x14ac:dyDescent="0.3">
      <c r="A213" s="26"/>
      <c r="B213" s="27" t="s">
        <v>144</v>
      </c>
      <c r="C213" s="27"/>
      <c r="D213" s="27"/>
      <c r="E213" s="27"/>
      <c r="F213" s="27"/>
      <c r="G213" s="27"/>
      <c r="H213" s="27"/>
      <c r="I213" s="37">
        <f>+I211+I212</f>
        <v>10326</v>
      </c>
      <c r="J213" s="136"/>
      <c r="K213" s="56">
        <f>+K211+K212</f>
        <v>261495</v>
      </c>
      <c r="L213" s="136"/>
      <c r="M213" s="27"/>
      <c r="N213" s="27"/>
      <c r="O213" s="6"/>
    </row>
    <row r="214" spans="1:15" ht="15.6" x14ac:dyDescent="0.3">
      <c r="A214" s="26"/>
      <c r="B214" s="27"/>
      <c r="C214" s="27"/>
      <c r="D214" s="27"/>
      <c r="E214" s="27"/>
      <c r="F214" s="27"/>
      <c r="G214" s="27"/>
      <c r="H214" s="27"/>
      <c r="I214" s="37"/>
      <c r="J214" s="104"/>
      <c r="K214" s="56"/>
      <c r="L214" s="104"/>
      <c r="M214" s="27"/>
      <c r="N214" s="27"/>
      <c r="O214" s="6"/>
    </row>
    <row r="215" spans="1:15" ht="15.6" x14ac:dyDescent="0.3">
      <c r="A215" s="146"/>
      <c r="B215" s="16" t="s">
        <v>215</v>
      </c>
      <c r="C215" s="17"/>
      <c r="D215" s="17"/>
      <c r="E215" s="17"/>
      <c r="F215" s="19" t="s">
        <v>216</v>
      </c>
      <c r="G215" s="17"/>
      <c r="H215" s="16" t="s">
        <v>217</v>
      </c>
      <c r="I215" s="141"/>
      <c r="J215" s="141"/>
      <c r="K215" s="141"/>
      <c r="L215" s="141"/>
      <c r="M215" s="141"/>
      <c r="N215" s="141"/>
      <c r="O215" s="6"/>
    </row>
    <row r="216" spans="1:15" ht="15.6" x14ac:dyDescent="0.3">
      <c r="A216" s="146"/>
      <c r="B216" s="141"/>
      <c r="C216" s="9"/>
      <c r="D216" s="9"/>
      <c r="E216" s="9"/>
      <c r="F216" s="9"/>
      <c r="G216" s="9"/>
      <c r="H216" s="9"/>
      <c r="I216" s="141"/>
      <c r="J216" s="141"/>
      <c r="K216" s="141"/>
      <c r="L216" s="141"/>
      <c r="M216" s="141"/>
      <c r="N216" s="141"/>
      <c r="O216" s="6"/>
    </row>
    <row r="217" spans="1:15" ht="15.6" x14ac:dyDescent="0.3">
      <c r="A217" s="146"/>
      <c r="B217" s="15" t="s">
        <v>218</v>
      </c>
      <c r="C217" s="15"/>
      <c r="D217" s="15"/>
      <c r="E217" s="15"/>
      <c r="F217" s="158" t="s">
        <v>219</v>
      </c>
      <c r="G217" s="15"/>
      <c r="H217" s="15" t="s">
        <v>220</v>
      </c>
      <c r="I217" s="141"/>
      <c r="J217" s="141"/>
      <c r="K217" s="141"/>
      <c r="L217" s="141"/>
      <c r="M217" s="141"/>
      <c r="N217" s="141"/>
      <c r="O217" s="6"/>
    </row>
    <row r="218" spans="1:15" ht="15.6" x14ac:dyDescent="0.3">
      <c r="A218" s="146"/>
      <c r="B218" s="15" t="s">
        <v>221</v>
      </c>
      <c r="C218" s="15"/>
      <c r="D218" s="15"/>
      <c r="E218" s="15"/>
      <c r="F218" s="158" t="s">
        <v>222</v>
      </c>
      <c r="G218" s="15"/>
      <c r="H218" s="15" t="s">
        <v>223</v>
      </c>
      <c r="I218" s="141"/>
      <c r="J218" s="141"/>
      <c r="K218" s="141"/>
      <c r="L218" s="141"/>
      <c r="M218" s="141"/>
      <c r="N218" s="141"/>
      <c r="O218" s="6"/>
    </row>
    <row r="219" spans="1:15" ht="15.6" x14ac:dyDescent="0.3">
      <c r="A219" s="146"/>
      <c r="B219" s="15" t="s">
        <v>224</v>
      </c>
      <c r="C219" s="15"/>
      <c r="D219" s="15"/>
      <c r="E219" s="15"/>
      <c r="F219" s="158" t="s">
        <v>225</v>
      </c>
      <c r="G219" s="15"/>
      <c r="H219" s="15" t="s">
        <v>226</v>
      </c>
      <c r="I219" s="141"/>
      <c r="J219" s="141"/>
      <c r="K219" s="141"/>
      <c r="L219" s="141"/>
      <c r="M219" s="141"/>
      <c r="N219" s="141"/>
      <c r="O219" s="6"/>
    </row>
    <row r="220" spans="1:15" ht="15.6" x14ac:dyDescent="0.3">
      <c r="A220" s="146"/>
      <c r="B220" s="15"/>
      <c r="C220" s="106"/>
      <c r="D220" s="106"/>
      <c r="E220" s="107"/>
      <c r="F220" s="15"/>
      <c r="G220" s="15"/>
      <c r="H220" s="106"/>
      <c r="I220" s="106"/>
      <c r="J220" s="141"/>
      <c r="K220" s="141"/>
      <c r="L220" s="141"/>
      <c r="M220" s="141"/>
      <c r="N220" s="141"/>
      <c r="O220" s="6"/>
    </row>
    <row r="221" spans="1:15" ht="18" thickBot="1" x14ac:dyDescent="0.35">
      <c r="A221" s="146"/>
      <c r="B221" s="52" t="str">
        <f>B167</f>
        <v>PSF1 INVESTOR REPORT QUARTER ENDING OCTOBER 2005</v>
      </c>
      <c r="C221" s="106"/>
      <c r="D221" s="106"/>
      <c r="E221" s="107"/>
      <c r="F221" s="15"/>
      <c r="G221" s="15"/>
      <c r="H221" s="106"/>
      <c r="I221" s="106"/>
      <c r="J221" s="141"/>
      <c r="K221" s="141"/>
      <c r="L221" s="141"/>
      <c r="M221" s="141"/>
      <c r="N221" s="141"/>
      <c r="O221" s="6"/>
    </row>
    <row r="222" spans="1:15" x14ac:dyDescent="0.25">
      <c r="A222" s="108"/>
      <c r="B222" s="108"/>
      <c r="C222" s="108"/>
      <c r="D222" s="108"/>
      <c r="E222" s="108"/>
      <c r="F222" s="108"/>
      <c r="G222" s="108"/>
      <c r="H222" s="108"/>
      <c r="I222" s="108"/>
      <c r="J222" s="108"/>
      <c r="K222" s="108"/>
      <c r="L222" s="108"/>
      <c r="M222" s="108"/>
      <c r="N222" s="108"/>
    </row>
    <row r="224" spans="1:15" x14ac:dyDescent="0.25">
      <c r="I224" s="117"/>
    </row>
  </sheetData>
  <phoneticPr fontId="0" type="noConversion"/>
  <hyperlinks>
    <hyperlink ref="I10" r:id="rId1" xr:uid="{00000000-0004-0000-0200-000000000000}"/>
    <hyperlink ref="K199" r:id="rId2" xr:uid="{00000000-0004-0000-02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3" max="14" man="1"/>
    <brk id="167" max="14"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2D2926"/>
  </sheetPr>
  <dimension ref="A1:P225"/>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41143</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65026.499999999993</v>
      </c>
      <c r="D31" s="345"/>
      <c r="E31" s="344">
        <f>E30*E34</f>
        <v>33853.461600000002</v>
      </c>
      <c r="F31" s="344"/>
      <c r="G31" s="344">
        <f>G30*G34</f>
        <v>21762.939600000002</v>
      </c>
      <c r="H31" s="346"/>
      <c r="I31" s="346"/>
      <c r="J31" s="346"/>
      <c r="K31" s="346"/>
      <c r="L31" s="347"/>
      <c r="M31" s="344">
        <f>C31+E31+G31</f>
        <v>120642.90119999999</v>
      </c>
      <c r="N31" s="348"/>
      <c r="O31" s="6"/>
    </row>
    <row r="32" spans="1:15" ht="15.6" x14ac:dyDescent="0.3">
      <c r="A32" s="340"/>
      <c r="B32" s="319" t="s">
        <v>16</v>
      </c>
      <c r="C32" s="349">
        <f>C30*C33</f>
        <v>62511.834000000003</v>
      </c>
      <c r="D32" s="350"/>
      <c r="E32" s="349">
        <f>E30*E33</f>
        <v>32544.296399999999</v>
      </c>
      <c r="F32" s="349"/>
      <c r="G32" s="349">
        <f>G30*G33</f>
        <v>20921.3334</v>
      </c>
      <c r="H32" s="351"/>
      <c r="I32" s="351"/>
      <c r="J32" s="351"/>
      <c r="K32" s="351"/>
      <c r="L32" s="352"/>
      <c r="M32" s="344">
        <f>C32+E32+G32</f>
        <v>115977.4638</v>
      </c>
      <c r="N32" s="348"/>
      <c r="O32" s="6"/>
    </row>
    <row r="33" spans="1:15" ht="15.6" x14ac:dyDescent="0.3">
      <c r="A33" s="340"/>
      <c r="B33" s="278" t="s">
        <v>174</v>
      </c>
      <c r="C33" s="371">
        <v>0.27061400000000002</v>
      </c>
      <c r="D33" s="372"/>
      <c r="E33" s="371">
        <v>0.7748642</v>
      </c>
      <c r="F33" s="371"/>
      <c r="G33" s="371">
        <v>0.7748642</v>
      </c>
      <c r="H33" s="373"/>
      <c r="I33" s="373"/>
      <c r="J33" s="351"/>
      <c r="K33" s="351"/>
      <c r="L33" s="352"/>
      <c r="M33" s="351"/>
      <c r="N33" s="348"/>
      <c r="O33" s="6"/>
    </row>
    <row r="34" spans="1:15" ht="15.6" x14ac:dyDescent="0.3">
      <c r="A34" s="340"/>
      <c r="B34" s="278" t="s">
        <v>175</v>
      </c>
      <c r="C34" s="371">
        <v>0.28149999999999997</v>
      </c>
      <c r="D34" s="372"/>
      <c r="E34" s="371">
        <v>0.80603480000000005</v>
      </c>
      <c r="F34" s="371"/>
      <c r="G34" s="371">
        <v>0.80603480000000005</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1.4075000000000001E-2</v>
      </c>
      <c r="D36" s="258"/>
      <c r="E36" s="356">
        <v>2.5075E-2</v>
      </c>
      <c r="F36" s="304"/>
      <c r="G36" s="356">
        <v>3.0075000000000001E-2</v>
      </c>
      <c r="H36" s="304"/>
      <c r="I36" s="356"/>
      <c r="J36" s="304"/>
      <c r="K36" s="356"/>
      <c r="L36" s="321"/>
      <c r="M36" s="304">
        <f>SUMPRODUCT(C36:G36,C31:G31)/M31</f>
        <v>2.0047959072041946E-2</v>
      </c>
      <c r="N36" s="264"/>
      <c r="O36" s="6"/>
    </row>
    <row r="37" spans="1:15" ht="15.6" x14ac:dyDescent="0.3">
      <c r="A37" s="307"/>
      <c r="B37" s="258" t="s">
        <v>19</v>
      </c>
      <c r="C37" s="356">
        <v>1.47581E-2</v>
      </c>
      <c r="D37" s="258"/>
      <c r="E37" s="356">
        <v>2.5758099999999999E-2</v>
      </c>
      <c r="F37" s="304"/>
      <c r="G37" s="356">
        <v>3.07581E-2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0.85528813312372176</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41136</v>
      </c>
      <c r="N47" s="264"/>
      <c r="O47" s="6"/>
    </row>
    <row r="48" spans="1:15" ht="15.6" x14ac:dyDescent="0.3">
      <c r="A48" s="307"/>
      <c r="B48" s="258" t="s">
        <v>26</v>
      </c>
      <c r="C48" s="258"/>
      <c r="D48" s="258"/>
      <c r="E48" s="258"/>
      <c r="F48" s="258"/>
      <c r="G48" s="258"/>
      <c r="H48" s="258"/>
      <c r="I48" s="258"/>
      <c r="J48" s="258">
        <f>M48-K48+1</f>
        <v>90</v>
      </c>
      <c r="K48" s="360">
        <v>40954</v>
      </c>
      <c r="L48" s="361"/>
      <c r="M48" s="360">
        <v>41043</v>
      </c>
      <c r="N48" s="264"/>
      <c r="O48" s="6"/>
    </row>
    <row r="49" spans="1:15" ht="15.6" x14ac:dyDescent="0.3">
      <c r="A49" s="307"/>
      <c r="B49" s="258" t="s">
        <v>27</v>
      </c>
      <c r="C49" s="258"/>
      <c r="D49" s="258"/>
      <c r="E49" s="258"/>
      <c r="F49" s="258"/>
      <c r="G49" s="258"/>
      <c r="H49" s="258"/>
      <c r="I49" s="258"/>
      <c r="J49" s="258">
        <f>M49-K49+1</f>
        <v>92</v>
      </c>
      <c r="K49" s="360">
        <v>41044</v>
      </c>
      <c r="L49" s="361"/>
      <c r="M49" s="360">
        <v>41135</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41122</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253</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120643</v>
      </c>
      <c r="F58" s="256"/>
      <c r="G58" s="256">
        <f>3736+930</f>
        <v>4666</v>
      </c>
      <c r="H58" s="256"/>
      <c r="I58" s="256">
        <v>0</v>
      </c>
      <c r="J58" s="256"/>
      <c r="K58" s="256">
        <v>0</v>
      </c>
      <c r="L58" s="256"/>
      <c r="M58" s="260">
        <f>E58-G58+I58-K58</f>
        <v>115977</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120643</v>
      </c>
      <c r="F62" s="256"/>
      <c r="G62" s="256">
        <f>SUM(G58:G61)</f>
        <v>4666</v>
      </c>
      <c r="H62" s="256"/>
      <c r="I62" s="256">
        <f>SUM(I58:I61)</f>
        <v>0</v>
      </c>
      <c r="J62" s="256"/>
      <c r="K62" s="256">
        <f>SUM(K58:K61)</f>
        <v>0</v>
      </c>
      <c r="L62" s="256"/>
      <c r="M62" s="256">
        <f>SUM(M58:M61)</f>
        <v>115977</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120643</v>
      </c>
      <c r="F75" s="256"/>
      <c r="G75" s="256"/>
      <c r="H75" s="256"/>
      <c r="I75" s="256"/>
      <c r="J75" s="256"/>
      <c r="K75" s="256"/>
      <c r="L75" s="256"/>
      <c r="M75" s="256">
        <f>SUM(M62:M74)</f>
        <v>115977</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41121</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4666-930</f>
        <v>3736</v>
      </c>
      <c r="L80" s="258"/>
      <c r="M80" s="260"/>
      <c r="N80" s="264"/>
      <c r="O80" s="6"/>
    </row>
    <row r="81" spans="1:16" ht="15.6" x14ac:dyDescent="0.3">
      <c r="A81" s="307"/>
      <c r="B81" s="258" t="s">
        <v>204</v>
      </c>
      <c r="C81" s="290"/>
      <c r="D81" s="325"/>
      <c r="E81" s="326"/>
      <c r="F81" s="258"/>
      <c r="G81" s="258"/>
      <c r="H81" s="258"/>
      <c r="I81" s="258"/>
      <c r="J81" s="258"/>
      <c r="K81" s="256"/>
      <c r="L81" s="258"/>
      <c r="M81" s="260">
        <f>5359+20-2410</f>
        <v>2969</v>
      </c>
      <c r="N81" s="264"/>
      <c r="O81" s="6"/>
    </row>
    <row r="82" spans="1:16" ht="15.6" x14ac:dyDescent="0.3">
      <c r="A82" s="307"/>
      <c r="B82" s="258" t="s">
        <v>205</v>
      </c>
      <c r="C82" s="290"/>
      <c r="D82" s="325"/>
      <c r="E82" s="326"/>
      <c r="F82" s="258"/>
      <c r="G82" s="258"/>
      <c r="H82" s="258"/>
      <c r="I82" s="258"/>
      <c r="J82" s="258"/>
      <c r="K82" s="256"/>
      <c r="L82" s="258"/>
      <c r="M82" s="260">
        <v>123</v>
      </c>
      <c r="N82" s="264"/>
      <c r="O82" s="6"/>
    </row>
    <row r="83" spans="1:16" ht="15.6" x14ac:dyDescent="0.3">
      <c r="A83" s="307"/>
      <c r="B83" s="258" t="s">
        <v>206</v>
      </c>
      <c r="C83" s="290"/>
      <c r="D83" s="325"/>
      <c r="E83" s="326"/>
      <c r="F83" s="258"/>
      <c r="G83" s="258"/>
      <c r="H83" s="258"/>
      <c r="I83" s="258"/>
      <c r="J83" s="258"/>
      <c r="K83" s="256"/>
      <c r="L83" s="258"/>
      <c r="M83" s="260">
        <v>30</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3736</v>
      </c>
      <c r="L85" s="258"/>
      <c r="M85" s="256">
        <f>SUM(M79:M84)</f>
        <v>3122</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3736</v>
      </c>
      <c r="L87" s="258"/>
      <c r="M87" s="256">
        <f>M85+M86</f>
        <v>3122</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-46-37-1</f>
        <v>-84</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-230</v>
      </c>
      <c r="N93" s="311"/>
      <c r="O93" s="6"/>
    </row>
    <row r="94" spans="1:16" ht="15.6" x14ac:dyDescent="0.3">
      <c r="A94" s="255">
        <v>5</v>
      </c>
      <c r="B94" s="258" t="s">
        <v>52</v>
      </c>
      <c r="C94" s="258"/>
      <c r="D94" s="258"/>
      <c r="E94" s="258"/>
      <c r="F94" s="258"/>
      <c r="G94" s="258"/>
      <c r="H94" s="258"/>
      <c r="I94" s="258"/>
      <c r="J94" s="258"/>
      <c r="K94" s="258"/>
      <c r="L94" s="258"/>
      <c r="M94" s="260">
        <v>-213</v>
      </c>
      <c r="N94" s="311"/>
      <c r="O94" s="6"/>
    </row>
    <row r="95" spans="1:16" ht="15.6" x14ac:dyDescent="0.3">
      <c r="A95" s="255">
        <v>6</v>
      </c>
      <c r="B95" s="258" t="s">
        <v>172</v>
      </c>
      <c r="C95" s="258"/>
      <c r="D95" s="258"/>
      <c r="E95" s="258"/>
      <c r="F95" s="258"/>
      <c r="G95" s="258"/>
      <c r="H95" s="258"/>
      <c r="I95" s="258"/>
      <c r="J95" s="258"/>
      <c r="K95" s="258"/>
      <c r="L95" s="258"/>
      <c r="M95" s="260">
        <v>-165</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930</v>
      </c>
      <c r="L97" s="258"/>
      <c r="M97" s="260">
        <v>-930</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-45</v>
      </c>
      <c r="N101" s="311"/>
      <c r="O101" s="6"/>
    </row>
    <row r="102" spans="1:16" ht="15.6" x14ac:dyDescent="0.3">
      <c r="A102" s="255">
        <v>13</v>
      </c>
      <c r="B102" s="258" t="s">
        <v>195</v>
      </c>
      <c r="C102" s="258"/>
      <c r="D102" s="258"/>
      <c r="E102" s="258"/>
      <c r="F102" s="258"/>
      <c r="G102" s="258"/>
      <c r="H102" s="258"/>
      <c r="I102" s="258"/>
      <c r="J102" s="258"/>
      <c r="K102" s="258"/>
      <c r="L102" s="258"/>
      <c r="M102" s="260">
        <f>-M87-SUM(M89:M101)</f>
        <v>-1446</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-2515</v>
      </c>
      <c r="L107" s="256"/>
      <c r="M107" s="260"/>
      <c r="N107" s="311"/>
      <c r="O107" s="6"/>
    </row>
    <row r="108" spans="1:16" ht="15.6" x14ac:dyDescent="0.3">
      <c r="A108" s="307"/>
      <c r="B108" s="258" t="s">
        <v>59</v>
      </c>
      <c r="C108" s="258"/>
      <c r="D108" s="258"/>
      <c r="E108" s="258"/>
      <c r="F108" s="258"/>
      <c r="G108" s="258"/>
      <c r="H108" s="258"/>
      <c r="I108" s="258"/>
      <c r="J108" s="258"/>
      <c r="K108" s="256">
        <v>-1309</v>
      </c>
      <c r="L108" s="256"/>
      <c r="M108" s="260"/>
      <c r="N108" s="311"/>
      <c r="O108" s="6"/>
    </row>
    <row r="109" spans="1:16" ht="15.6" x14ac:dyDescent="0.3">
      <c r="A109" s="307"/>
      <c r="B109" s="258" t="s">
        <v>186</v>
      </c>
      <c r="C109" s="258"/>
      <c r="D109" s="258"/>
      <c r="E109" s="258"/>
      <c r="F109" s="258"/>
      <c r="G109" s="258"/>
      <c r="H109" s="258"/>
      <c r="I109" s="258"/>
      <c r="J109" s="258"/>
      <c r="K109" s="256">
        <v>-842</v>
      </c>
      <c r="L109" s="256"/>
      <c r="M109" s="260"/>
      <c r="N109" s="311"/>
      <c r="O109" s="6"/>
    </row>
    <row r="110" spans="1:16" ht="15.6" x14ac:dyDescent="0.3">
      <c r="A110" s="307"/>
      <c r="B110" s="258" t="s">
        <v>60</v>
      </c>
      <c r="C110" s="258"/>
      <c r="D110" s="258"/>
      <c r="E110" s="258"/>
      <c r="F110" s="258"/>
      <c r="G110" s="258"/>
      <c r="H110" s="258"/>
      <c r="I110" s="258"/>
      <c r="J110" s="258"/>
      <c r="K110" s="256">
        <f>+K105+K106+K107+K108+K109</f>
        <v>-4666</v>
      </c>
      <c r="L110" s="256"/>
      <c r="M110" s="256">
        <f>SUM(M88:M109)</f>
        <v>-3122</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JULY 2012</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382</v>
      </c>
      <c r="N137" s="264"/>
      <c r="O137" s="6"/>
    </row>
    <row r="138" spans="1:15" ht="15.6" x14ac:dyDescent="0.3">
      <c r="A138" s="307"/>
      <c r="B138" s="258" t="s">
        <v>180</v>
      </c>
      <c r="C138" s="258"/>
      <c r="D138" s="258"/>
      <c r="E138" s="258"/>
      <c r="F138" s="258"/>
      <c r="G138" s="258"/>
      <c r="H138" s="258"/>
      <c r="I138" s="258"/>
      <c r="J138" s="258"/>
      <c r="K138" s="258"/>
      <c r="L138" s="258"/>
      <c r="M138" s="260">
        <f>549-1</f>
        <v>548</v>
      </c>
      <c r="N138" s="264"/>
      <c r="O138" s="6"/>
    </row>
    <row r="139" spans="1:15" ht="15.6" x14ac:dyDescent="0.3">
      <c r="A139" s="307"/>
      <c r="B139" s="258" t="s">
        <v>77</v>
      </c>
      <c r="C139" s="258"/>
      <c r="D139" s="258"/>
      <c r="E139" s="258"/>
      <c r="F139" s="258"/>
      <c r="G139" s="258"/>
      <c r="H139" s="258"/>
      <c r="I139" s="258"/>
      <c r="J139" s="258"/>
      <c r="K139" s="258"/>
      <c r="L139" s="258"/>
      <c r="M139" s="260">
        <f>M137+M136+M138</f>
        <v>930</v>
      </c>
      <c r="N139" s="264"/>
      <c r="O139" s="6"/>
    </row>
    <row r="140" spans="1:15" ht="15.6" x14ac:dyDescent="0.3">
      <c r="A140" s="307"/>
      <c r="B140" s="258" t="s">
        <v>183</v>
      </c>
      <c r="C140" s="258"/>
      <c r="D140" s="258"/>
      <c r="E140" s="258"/>
      <c r="F140" s="258"/>
      <c r="G140" s="258"/>
      <c r="H140" s="258"/>
      <c r="I140" s="303"/>
      <c r="J140" s="258"/>
      <c r="K140" s="258"/>
      <c r="L140" s="258"/>
      <c r="M140" s="260">
        <f>M97</f>
        <v>-930</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115977</v>
      </c>
      <c r="N146" s="318"/>
      <c r="O146" s="6"/>
      <c r="P146" s="117"/>
    </row>
    <row r="147" spans="1:16" ht="15.6" x14ac:dyDescent="0.3">
      <c r="A147" s="307"/>
      <c r="B147" s="258" t="s">
        <v>80</v>
      </c>
      <c r="C147" s="319"/>
      <c r="D147" s="319"/>
      <c r="E147" s="258"/>
      <c r="F147" s="258"/>
      <c r="G147" s="258"/>
      <c r="H147" s="258"/>
      <c r="I147" s="258"/>
      <c r="J147" s="258"/>
      <c r="K147" s="258"/>
      <c r="L147" s="258"/>
      <c r="M147" s="260">
        <f>M75</f>
        <v>115977</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+'April 12'!I154</f>
        <v>7636</v>
      </c>
      <c r="J152" s="258"/>
      <c r="K152" s="260">
        <v>0</v>
      </c>
      <c r="L152" s="258"/>
      <c r="M152" s="260">
        <f>K152+I152</f>
        <v>7636</v>
      </c>
      <c r="N152" s="311"/>
      <c r="O152" s="6"/>
    </row>
    <row r="153" spans="1:16" ht="15.6" x14ac:dyDescent="0.3">
      <c r="A153" s="307"/>
      <c r="B153" s="258" t="s">
        <v>84</v>
      </c>
      <c r="C153" s="258"/>
      <c r="D153" s="258"/>
      <c r="E153" s="258"/>
      <c r="F153" s="258"/>
      <c r="G153" s="258"/>
      <c r="H153" s="258"/>
      <c r="I153" s="256">
        <v>0</v>
      </c>
      <c r="J153" s="258"/>
      <c r="K153" s="258">
        <v>0</v>
      </c>
      <c r="L153" s="258"/>
      <c r="M153" s="260">
        <f>K153+I153</f>
        <v>0</v>
      </c>
      <c r="N153" s="311"/>
      <c r="O153" s="6"/>
    </row>
    <row r="154" spans="1:16" ht="15.6" x14ac:dyDescent="0.3">
      <c r="A154" s="307"/>
      <c r="B154" s="258" t="s">
        <v>85</v>
      </c>
      <c r="C154" s="258"/>
      <c r="D154" s="258"/>
      <c r="E154" s="258"/>
      <c r="F154" s="258"/>
      <c r="G154" s="258"/>
      <c r="H154" s="258"/>
      <c r="I154" s="260">
        <f>I152+I153</f>
        <v>7636</v>
      </c>
      <c r="J154" s="258"/>
      <c r="K154" s="260">
        <f>K153+K152</f>
        <v>0</v>
      </c>
      <c r="L154" s="258"/>
      <c r="M154" s="260">
        <f>K154+I154</f>
        <v>7636</v>
      </c>
      <c r="N154" s="311"/>
      <c r="O154" s="6"/>
    </row>
    <row r="155" spans="1:16" ht="15.6" x14ac:dyDescent="0.3">
      <c r="A155" s="307"/>
      <c r="B155" s="258" t="s">
        <v>86</v>
      </c>
      <c r="C155" s="258"/>
      <c r="D155" s="258"/>
      <c r="E155" s="258"/>
      <c r="F155" s="258"/>
      <c r="G155" s="258"/>
      <c r="H155" s="258"/>
      <c r="I155" s="260">
        <f>I151-I154-K154</f>
        <v>7364</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13.2</v>
      </c>
      <c r="N159" s="264" t="s">
        <v>145</v>
      </c>
      <c r="O159" s="6"/>
    </row>
    <row r="160" spans="1:16" ht="15.6" x14ac:dyDescent="0.3">
      <c r="A160" s="307"/>
      <c r="B160" s="258" t="s">
        <v>89</v>
      </c>
      <c r="C160" s="258"/>
      <c r="D160" s="258"/>
      <c r="E160" s="258"/>
      <c r="F160" s="258"/>
      <c r="G160" s="258"/>
      <c r="H160" s="258"/>
      <c r="I160" s="258"/>
      <c r="J160" s="258"/>
      <c r="K160" s="258"/>
      <c r="L160" s="258"/>
      <c r="M160" s="309">
        <v>3.26</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13.173708920187794</v>
      </c>
      <c r="N161" s="264" t="s">
        <v>145</v>
      </c>
      <c r="O161" s="6"/>
    </row>
    <row r="162" spans="1:15" ht="15.6" x14ac:dyDescent="0.3">
      <c r="A162" s="307"/>
      <c r="B162" s="258" t="s">
        <v>91</v>
      </c>
      <c r="C162" s="258"/>
      <c r="D162" s="258"/>
      <c r="E162" s="258"/>
      <c r="F162" s="258"/>
      <c r="G162" s="258"/>
      <c r="H162" s="258"/>
      <c r="I162" s="258"/>
      <c r="J162" s="258"/>
      <c r="K162" s="258"/>
      <c r="L162" s="258"/>
      <c r="M162" s="310">
        <v>9.23</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15.715151515151515</v>
      </c>
      <c r="N163" s="264" t="s">
        <v>145</v>
      </c>
      <c r="O163" s="6"/>
    </row>
    <row r="164" spans="1:15" ht="15.6" x14ac:dyDescent="0.3">
      <c r="A164" s="307"/>
      <c r="B164" s="258" t="s">
        <v>182</v>
      </c>
      <c r="C164" s="258"/>
      <c r="D164" s="258"/>
      <c r="E164" s="258"/>
      <c r="F164" s="258"/>
      <c r="G164" s="258"/>
      <c r="H164" s="258"/>
      <c r="I164" s="258"/>
      <c r="J164" s="258"/>
      <c r="K164" s="258"/>
      <c r="L164" s="258"/>
      <c r="M164" s="310">
        <v>11.88</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JULY 2012</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v>41121</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9.5699999999999993E-2</v>
      </c>
      <c r="L174" s="258"/>
      <c r="M174" s="258"/>
      <c r="N174" s="264"/>
      <c r="O174" s="6"/>
    </row>
    <row r="175" spans="1:15" ht="15.6" x14ac:dyDescent="0.3">
      <c r="A175" s="301"/>
      <c r="B175" s="258" t="s">
        <v>97</v>
      </c>
      <c r="C175" s="302"/>
      <c r="D175" s="302"/>
      <c r="E175" s="302"/>
      <c r="F175" s="302"/>
      <c r="G175" s="302"/>
      <c r="H175" s="303"/>
      <c r="I175" s="303"/>
      <c r="J175" s="303"/>
      <c r="K175" s="304">
        <f>M36</f>
        <v>2.0047959072041946E-2</v>
      </c>
      <c r="L175" s="258"/>
      <c r="M175" s="258"/>
      <c r="N175" s="264"/>
      <c r="O175" s="6"/>
    </row>
    <row r="176" spans="1:15" ht="15.6" x14ac:dyDescent="0.3">
      <c r="A176" s="301"/>
      <c r="B176" s="258" t="s">
        <v>98</v>
      </c>
      <c r="C176" s="302"/>
      <c r="D176" s="302"/>
      <c r="E176" s="302"/>
      <c r="F176" s="302"/>
      <c r="G176" s="302"/>
      <c r="H176" s="303"/>
      <c r="I176" s="303"/>
      <c r="J176" s="303"/>
      <c r="K176" s="304">
        <f>K174-K175</f>
        <v>7.5652040927958047E-2</v>
      </c>
      <c r="L176" s="258"/>
      <c r="M176" s="258"/>
      <c r="N176" s="264"/>
      <c r="O176" s="6"/>
    </row>
    <row r="177" spans="1:15" ht="15.6" x14ac:dyDescent="0.3">
      <c r="A177" s="301"/>
      <c r="B177" s="258" t="s">
        <v>211</v>
      </c>
      <c r="C177" s="302"/>
      <c r="D177" s="302"/>
      <c r="E177" s="302"/>
      <c r="F177" s="302"/>
      <c r="G177" s="302"/>
      <c r="H177" s="303"/>
      <c r="I177" s="303"/>
      <c r="J177" s="303"/>
      <c r="K177" s="304">
        <f>(+M87+M89)/E58</f>
        <v>2.5878003696857672E-2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12.78</v>
      </c>
      <c r="L182" s="258" t="s">
        <v>139</v>
      </c>
      <c r="M182" s="258"/>
      <c r="N182" s="264"/>
      <c r="O182" s="6"/>
    </row>
    <row r="183" spans="1:15" ht="15.6" x14ac:dyDescent="0.3">
      <c r="A183" s="301"/>
      <c r="B183" s="258" t="s">
        <v>103</v>
      </c>
      <c r="C183" s="302"/>
      <c r="D183" s="302"/>
      <c r="E183" s="302"/>
      <c r="F183" s="302"/>
      <c r="G183" s="302"/>
      <c r="H183" s="303"/>
      <c r="I183" s="303"/>
      <c r="J183" s="303"/>
      <c r="K183" s="304">
        <f>K80/E58</f>
        <v>3.096739968336331E-2</v>
      </c>
      <c r="L183" s="258"/>
      <c r="M183" s="258"/>
      <c r="N183" s="264"/>
      <c r="O183" s="6"/>
    </row>
    <row r="184" spans="1:15" ht="15.6" x14ac:dyDescent="0.3">
      <c r="A184" s="301"/>
      <c r="B184" s="258" t="s">
        <v>104</v>
      </c>
      <c r="C184" s="302"/>
      <c r="D184" s="302"/>
      <c r="E184" s="302"/>
      <c r="F184" s="302"/>
      <c r="G184" s="302"/>
      <c r="H184" s="303"/>
      <c r="I184" s="303"/>
      <c r="J184" s="303"/>
      <c r="K184" s="304">
        <v>0.25750000000000001</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734</v>
      </c>
      <c r="K187" s="369">
        <v>17751</v>
      </c>
      <c r="L187" s="217"/>
      <c r="M187" s="229"/>
      <c r="N187" s="230"/>
      <c r="O187" s="6"/>
    </row>
    <row r="188" spans="1:15" ht="15.6" x14ac:dyDescent="0.3">
      <c r="A188" s="275"/>
      <c r="B188" s="258" t="s">
        <v>196</v>
      </c>
      <c r="C188" s="256"/>
      <c r="D188" s="256"/>
      <c r="E188" s="256"/>
      <c r="F188" s="256"/>
      <c r="G188" s="258"/>
      <c r="H188" s="258"/>
      <c r="I188" s="258"/>
      <c r="J188" s="276">
        <v>0</v>
      </c>
      <c r="K188" s="277">
        <v>0</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0</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58" t="s">
        <v>110</v>
      </c>
      <c r="C192" s="256"/>
      <c r="D192" s="256"/>
      <c r="E192" s="258"/>
      <c r="F192" s="258"/>
      <c r="G192" s="258"/>
      <c r="H192" s="258"/>
      <c r="I192" s="258"/>
      <c r="J192" s="258"/>
      <c r="K192" s="277">
        <f>+M139</f>
        <v>930</v>
      </c>
      <c r="L192" s="258"/>
      <c r="M192" s="281"/>
      <c r="N192" s="286"/>
      <c r="O192" s="6"/>
    </row>
    <row r="193" spans="1:15" ht="15.6" x14ac:dyDescent="0.3">
      <c r="A193" s="275"/>
      <c r="B193" s="258" t="s">
        <v>111</v>
      </c>
      <c r="C193" s="256"/>
      <c r="D193" s="256"/>
      <c r="E193" s="256"/>
      <c r="F193" s="256"/>
      <c r="G193" s="256"/>
      <c r="H193" s="258"/>
      <c r="I193" s="258"/>
      <c r="J193" s="258"/>
      <c r="K193" s="277">
        <f>'April 12'!K193+'July 12'!K192</f>
        <v>31118</v>
      </c>
      <c r="L193" s="258"/>
      <c r="M193" s="281"/>
      <c r="N193" s="286"/>
      <c r="O193" s="6"/>
    </row>
    <row r="194" spans="1:15" ht="15.6" x14ac:dyDescent="0.3">
      <c r="A194" s="275"/>
      <c r="B194" s="258" t="s">
        <v>112</v>
      </c>
      <c r="C194" s="256"/>
      <c r="D194" s="256"/>
      <c r="E194" s="256"/>
      <c r="F194" s="256"/>
      <c r="G194" s="256"/>
      <c r="H194" s="258"/>
      <c r="I194" s="258"/>
      <c r="J194" s="258"/>
      <c r="K194" s="277">
        <f>'April 12'!K194+336</f>
        <v>8396</v>
      </c>
      <c r="L194" s="258"/>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1</v>
      </c>
      <c r="L196" s="258"/>
      <c r="M196" s="261"/>
      <c r="N196" s="286"/>
      <c r="O196" s="6"/>
    </row>
    <row r="197" spans="1:15" ht="15.6" x14ac:dyDescent="0.3">
      <c r="A197" s="275"/>
      <c r="B197" s="258" t="s">
        <v>113</v>
      </c>
      <c r="C197" s="256"/>
      <c r="D197" s="256"/>
      <c r="E197" s="290"/>
      <c r="F197" s="290"/>
      <c r="G197" s="291"/>
      <c r="H197" s="258"/>
      <c r="I197" s="258"/>
      <c r="J197" s="258"/>
      <c r="K197" s="292">
        <v>24.78</v>
      </c>
      <c r="L197" s="258"/>
      <c r="M197" s="261"/>
      <c r="N197" s="286"/>
      <c r="O197" s="6"/>
    </row>
    <row r="198" spans="1:15" ht="15.6" x14ac:dyDescent="0.3">
      <c r="A198" s="275"/>
      <c r="B198" s="258" t="s">
        <v>114</v>
      </c>
      <c r="C198" s="256"/>
      <c r="D198" s="256"/>
      <c r="E198" s="290"/>
      <c r="F198" s="290"/>
      <c r="G198" s="291"/>
      <c r="H198" s="258"/>
      <c r="I198" s="258"/>
      <c r="J198" s="258"/>
      <c r="K198" s="292">
        <v>11.05</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4475</v>
      </c>
      <c r="J203" s="232">
        <f>I203/I211</f>
        <v>0.85909003647533111</v>
      </c>
      <c r="K203" s="221">
        <v>98226</v>
      </c>
      <c r="L203" s="232">
        <f>K203/K211</f>
        <v>0.84694379057916658</v>
      </c>
      <c r="M203" s="228"/>
      <c r="N203" s="218"/>
      <c r="O203" s="6"/>
    </row>
    <row r="204" spans="1:15" ht="15.6" x14ac:dyDescent="0.3">
      <c r="A204" s="255"/>
      <c r="B204" s="256" t="s">
        <v>117</v>
      </c>
      <c r="C204" s="257"/>
      <c r="D204" s="257"/>
      <c r="E204" s="256"/>
      <c r="F204" s="257"/>
      <c r="G204" s="258"/>
      <c r="H204" s="259"/>
      <c r="I204" s="256">
        <v>163</v>
      </c>
      <c r="J204" s="259">
        <f>I204/I211</f>
        <v>3.1291994624688041E-2</v>
      </c>
      <c r="K204" s="260">
        <v>3529</v>
      </c>
      <c r="L204" s="259">
        <f>K204/K211</f>
        <v>3.0428447019667692E-2</v>
      </c>
      <c r="M204" s="261"/>
      <c r="N204" s="263"/>
      <c r="O204" s="6"/>
    </row>
    <row r="205" spans="1:15" ht="15.6" x14ac:dyDescent="0.3">
      <c r="A205" s="255"/>
      <c r="B205" s="256" t="s">
        <v>118</v>
      </c>
      <c r="C205" s="257"/>
      <c r="D205" s="257"/>
      <c r="E205" s="256"/>
      <c r="F205" s="257"/>
      <c r="G205" s="258"/>
      <c r="H205" s="259"/>
      <c r="I205" s="256">
        <v>126</v>
      </c>
      <c r="J205" s="259">
        <f>I205/I211</f>
        <v>2.4188903820311001E-2</v>
      </c>
      <c r="K205" s="260">
        <v>2981</v>
      </c>
      <c r="L205" s="259">
        <f>K205/K211</f>
        <v>2.5703372220354036E-2</v>
      </c>
      <c r="M205" s="261"/>
      <c r="N205" s="263"/>
      <c r="O205" s="6"/>
    </row>
    <row r="206" spans="1:15" ht="15.6" x14ac:dyDescent="0.3">
      <c r="A206" s="255"/>
      <c r="B206" s="256" t="s">
        <v>167</v>
      </c>
      <c r="C206" s="257"/>
      <c r="D206" s="257"/>
      <c r="E206" s="256"/>
      <c r="F206" s="257"/>
      <c r="G206" s="258"/>
      <c r="H206" s="259"/>
      <c r="I206" s="256">
        <v>76</v>
      </c>
      <c r="J206" s="259">
        <f>I206/I211</f>
        <v>1.459013246304473E-2</v>
      </c>
      <c r="K206" s="260">
        <v>1710</v>
      </c>
      <c r="L206" s="259">
        <f>K206/K211</f>
        <v>1.4744302749683127E-2</v>
      </c>
      <c r="M206" s="261"/>
      <c r="N206" s="262"/>
      <c r="O206" s="6"/>
    </row>
    <row r="207" spans="1:15" ht="15.6" x14ac:dyDescent="0.3">
      <c r="A207" s="255"/>
      <c r="B207" s="256" t="s">
        <v>168</v>
      </c>
      <c r="C207" s="257"/>
      <c r="D207" s="257"/>
      <c r="E207" s="256"/>
      <c r="F207" s="257"/>
      <c r="G207" s="258"/>
      <c r="H207" s="259"/>
      <c r="I207" s="256">
        <v>81</v>
      </c>
      <c r="J207" s="259">
        <f>I207/I211</f>
        <v>1.5550009598771357E-2</v>
      </c>
      <c r="K207" s="260">
        <v>1955</v>
      </c>
      <c r="L207" s="259">
        <f>K207/K211</f>
        <v>1.685679057054416E-2</v>
      </c>
      <c r="M207" s="374"/>
      <c r="N207" s="262"/>
      <c r="O207" s="6"/>
    </row>
    <row r="208" spans="1:15" ht="15.6" x14ac:dyDescent="0.3">
      <c r="A208" s="255"/>
      <c r="B208" s="256" t="s">
        <v>169</v>
      </c>
      <c r="C208" s="257"/>
      <c r="D208" s="257"/>
      <c r="E208" s="256"/>
      <c r="F208" s="257"/>
      <c r="G208" s="258"/>
      <c r="H208" s="259"/>
      <c r="I208" s="256">
        <v>53</v>
      </c>
      <c r="J208" s="259">
        <f>I208/I211</f>
        <v>1.0174697638702246E-2</v>
      </c>
      <c r="K208" s="260">
        <v>1404</v>
      </c>
      <c r="L208" s="259">
        <f>K208/K211</f>
        <v>1.2105848573424042E-2</v>
      </c>
      <c r="M208" s="261"/>
      <c r="N208" s="262"/>
      <c r="O208" s="6"/>
    </row>
    <row r="209" spans="1:15" ht="15.6" x14ac:dyDescent="0.3">
      <c r="A209" s="255"/>
      <c r="B209" s="256" t="s">
        <v>176</v>
      </c>
      <c r="C209" s="257"/>
      <c r="D209" s="257"/>
      <c r="E209" s="256"/>
      <c r="F209" s="257"/>
      <c r="G209" s="258"/>
      <c r="H209" s="259"/>
      <c r="I209" s="256">
        <v>148</v>
      </c>
      <c r="J209" s="259">
        <f>I209/I211</f>
        <v>2.841236321750816E-2</v>
      </c>
      <c r="K209" s="260">
        <v>4134</v>
      </c>
      <c r="L209" s="259">
        <f>K209/K211</f>
        <v>3.5644998577304118E-2</v>
      </c>
      <c r="M209" s="261"/>
      <c r="N209" s="263"/>
      <c r="O209" s="6"/>
    </row>
    <row r="210" spans="1:15" ht="15.6" x14ac:dyDescent="0.3">
      <c r="A210" s="255"/>
      <c r="B210" s="256" t="s">
        <v>202</v>
      </c>
      <c r="C210" s="257"/>
      <c r="D210" s="257"/>
      <c r="E210" s="256"/>
      <c r="F210" s="257"/>
      <c r="G210" s="258"/>
      <c r="H210" s="259"/>
      <c r="I210" s="256">
        <v>87</v>
      </c>
      <c r="J210" s="259">
        <f>+I210/I211</f>
        <v>1.6701862161643311E-2</v>
      </c>
      <c r="K210" s="260">
        <v>2038</v>
      </c>
      <c r="L210" s="259">
        <f>+K210/K211</f>
        <v>1.7572449709856264E-2</v>
      </c>
      <c r="M210" s="261"/>
      <c r="N210" s="263"/>
      <c r="O210" s="6"/>
    </row>
    <row r="211" spans="1:15" ht="15.6" x14ac:dyDescent="0.3">
      <c r="A211" s="255"/>
      <c r="B211" s="258" t="s">
        <v>189</v>
      </c>
      <c r="C211" s="258"/>
      <c r="D211" s="258"/>
      <c r="E211" s="258"/>
      <c r="F211" s="258"/>
      <c r="G211" s="256"/>
      <c r="H211" s="258"/>
      <c r="I211" s="256">
        <f>SUM(I203:I210)</f>
        <v>5209</v>
      </c>
      <c r="J211" s="259">
        <f>SUM(J203:J210)</f>
        <v>1</v>
      </c>
      <c r="K211" s="260">
        <f>SUM(K203:K210)</f>
        <v>115977</v>
      </c>
      <c r="L211" s="259">
        <f>SUM(L203:L210)</f>
        <v>0.99999999999999989</v>
      </c>
      <c r="M211" s="258"/>
      <c r="N211" s="264"/>
      <c r="O211" s="6"/>
    </row>
    <row r="212" spans="1:15" ht="15.6" x14ac:dyDescent="0.3">
      <c r="A212" s="255"/>
      <c r="B212" s="256" t="s">
        <v>170</v>
      </c>
      <c r="C212" s="257"/>
      <c r="D212" s="257"/>
      <c r="E212" s="256"/>
      <c r="F212" s="257"/>
      <c r="G212" s="256"/>
      <c r="H212" s="259"/>
      <c r="I212" s="256">
        <v>235</v>
      </c>
      <c r="J212" s="259"/>
      <c r="K212" s="260">
        <v>6905</v>
      </c>
      <c r="L212" s="259"/>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1.0476000000000001</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JULY 2012</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hyperlinks>
    <hyperlink ref="I10" r:id="rId1" xr:uid="{00000000-0004-0000-1D00-000000000000}"/>
    <hyperlink ref="K200" r:id="rId2" xr:uid="{00000000-0004-0000-1D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89CB31"/>
  </sheetPr>
  <dimension ref="A1:P225"/>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41235</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62511.834000000003</v>
      </c>
      <c r="D31" s="345"/>
      <c r="E31" s="344">
        <f>E30*E34</f>
        <v>32544.296399999999</v>
      </c>
      <c r="F31" s="344"/>
      <c r="G31" s="344">
        <f>G30*G34</f>
        <v>20921.3334</v>
      </c>
      <c r="H31" s="346"/>
      <c r="I31" s="346"/>
      <c r="J31" s="346"/>
      <c r="K31" s="346"/>
      <c r="L31" s="347"/>
      <c r="M31" s="344">
        <f>C31+E31+G31</f>
        <v>115977.4638</v>
      </c>
      <c r="N31" s="348"/>
      <c r="O31" s="6"/>
    </row>
    <row r="32" spans="1:15" ht="15.6" x14ac:dyDescent="0.3">
      <c r="A32" s="340"/>
      <c r="B32" s="319" t="s">
        <v>16</v>
      </c>
      <c r="C32" s="349">
        <f>C30*C33</f>
        <v>59773.56</v>
      </c>
      <c r="D32" s="350"/>
      <c r="E32" s="349">
        <f>E30*E33</f>
        <v>31118.707199999997</v>
      </c>
      <c r="F32" s="349"/>
      <c r="G32" s="349">
        <f>G30*G33</f>
        <v>20004.8832</v>
      </c>
      <c r="H32" s="351"/>
      <c r="I32" s="351"/>
      <c r="J32" s="351"/>
      <c r="K32" s="351"/>
      <c r="L32" s="352"/>
      <c r="M32" s="344">
        <f>C32+E32+G32</f>
        <v>110897.1504</v>
      </c>
      <c r="N32" s="348"/>
      <c r="O32" s="6"/>
    </row>
    <row r="33" spans="1:15" ht="15.6" x14ac:dyDescent="0.3">
      <c r="A33" s="340"/>
      <c r="B33" s="278" t="s">
        <v>174</v>
      </c>
      <c r="C33" s="371">
        <v>0.25875999999999999</v>
      </c>
      <c r="D33" s="372"/>
      <c r="E33" s="371">
        <v>0.74092159999999996</v>
      </c>
      <c r="F33" s="371"/>
      <c r="G33" s="371">
        <v>0.74092159999999996</v>
      </c>
      <c r="H33" s="373"/>
      <c r="I33" s="373"/>
      <c r="J33" s="351"/>
      <c r="K33" s="351"/>
      <c r="L33" s="352"/>
      <c r="M33" s="351"/>
      <c r="N33" s="348"/>
      <c r="O33" s="6"/>
    </row>
    <row r="34" spans="1:15" ht="15.6" x14ac:dyDescent="0.3">
      <c r="A34" s="340"/>
      <c r="B34" s="278" t="s">
        <v>175</v>
      </c>
      <c r="C34" s="371">
        <v>0.27061400000000002</v>
      </c>
      <c r="D34" s="372"/>
      <c r="E34" s="371">
        <v>0.7748642</v>
      </c>
      <c r="F34" s="371"/>
      <c r="G34" s="371">
        <v>0.7748642</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1.1043799999999999E-2</v>
      </c>
      <c r="D36" s="258"/>
      <c r="E36" s="356">
        <v>2.2043799999999999E-2</v>
      </c>
      <c r="F36" s="304"/>
      <c r="G36" s="356">
        <v>2.70438E-2</v>
      </c>
      <c r="H36" s="304"/>
      <c r="I36" s="356"/>
      <c r="J36" s="304"/>
      <c r="K36" s="356"/>
      <c r="L36" s="321"/>
      <c r="M36" s="304">
        <f>SUMPRODUCT(C36:G36,C31:G31)/M31</f>
        <v>1.7016758643022163E-2</v>
      </c>
      <c r="N36" s="264"/>
      <c r="O36" s="6"/>
    </row>
    <row r="37" spans="1:15" ht="15.6" x14ac:dyDescent="0.3">
      <c r="A37" s="307"/>
      <c r="B37" s="258" t="s">
        <v>19</v>
      </c>
      <c r="C37" s="356">
        <v>1.4075000000000001E-2</v>
      </c>
      <c r="D37" s="258"/>
      <c r="E37" s="356">
        <v>2.5075E-2</v>
      </c>
      <c r="F37" s="304"/>
      <c r="G37" s="356">
        <v>3.0075000000000001E-2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0.85528769576381269</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41228</v>
      </c>
      <c r="N47" s="264"/>
      <c r="O47" s="6"/>
    </row>
    <row r="48" spans="1:15" ht="15.6" x14ac:dyDescent="0.3">
      <c r="A48" s="307"/>
      <c r="B48" s="258" t="s">
        <v>26</v>
      </c>
      <c r="C48" s="258"/>
      <c r="D48" s="258"/>
      <c r="E48" s="258"/>
      <c r="F48" s="258"/>
      <c r="G48" s="258"/>
      <c r="H48" s="258"/>
      <c r="I48" s="258"/>
      <c r="J48" s="258">
        <f>M48-K48+1</f>
        <v>92</v>
      </c>
      <c r="K48" s="360">
        <v>41044</v>
      </c>
      <c r="L48" s="361"/>
      <c r="M48" s="360">
        <v>41135</v>
      </c>
      <c r="N48" s="264"/>
      <c r="O48" s="6"/>
    </row>
    <row r="49" spans="1:15" ht="15.6" x14ac:dyDescent="0.3">
      <c r="A49" s="307"/>
      <c r="B49" s="258" t="s">
        <v>27</v>
      </c>
      <c r="C49" s="258"/>
      <c r="D49" s="258"/>
      <c r="E49" s="258"/>
      <c r="F49" s="258"/>
      <c r="G49" s="258"/>
      <c r="H49" s="258"/>
      <c r="I49" s="258"/>
      <c r="J49" s="258">
        <f>M49-K49+1</f>
        <v>92</v>
      </c>
      <c r="K49" s="360">
        <v>41136</v>
      </c>
      <c r="L49" s="361"/>
      <c r="M49" s="360">
        <v>41227</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41214</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256</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115977</v>
      </c>
      <c r="F58" s="256"/>
      <c r="G58" s="256">
        <f>4061+1019</f>
        <v>5080</v>
      </c>
      <c r="H58" s="256"/>
      <c r="I58" s="256">
        <v>0</v>
      </c>
      <c r="J58" s="256"/>
      <c r="K58" s="256">
        <v>0</v>
      </c>
      <c r="L58" s="256"/>
      <c r="M58" s="260">
        <f>E58-G58+I58-K58</f>
        <v>110897</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115977</v>
      </c>
      <c r="F62" s="256"/>
      <c r="G62" s="256">
        <f>SUM(G58:G61)</f>
        <v>5080</v>
      </c>
      <c r="H62" s="256"/>
      <c r="I62" s="256">
        <f>SUM(I58:I61)</f>
        <v>0</v>
      </c>
      <c r="J62" s="256"/>
      <c r="K62" s="256">
        <f>SUM(K58:K61)</f>
        <v>0</v>
      </c>
      <c r="L62" s="256"/>
      <c r="M62" s="256">
        <f>SUM(M58:M61)</f>
        <v>110897</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115977</v>
      </c>
      <c r="F75" s="256"/>
      <c r="G75" s="256"/>
      <c r="H75" s="256"/>
      <c r="I75" s="256"/>
      <c r="J75" s="256"/>
      <c r="K75" s="256"/>
      <c r="L75" s="256"/>
      <c r="M75" s="256">
        <f>SUM(M62:M74)</f>
        <v>110897</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41213</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5080-1019</f>
        <v>4061</v>
      </c>
      <c r="L80" s="258"/>
      <c r="M80" s="260"/>
      <c r="N80" s="264"/>
      <c r="O80" s="6"/>
    </row>
    <row r="81" spans="1:16" ht="15.6" x14ac:dyDescent="0.3">
      <c r="A81" s="307"/>
      <c r="B81" s="258" t="s">
        <v>204</v>
      </c>
      <c r="C81" s="290"/>
      <c r="D81" s="325"/>
      <c r="E81" s="326"/>
      <c r="F81" s="258"/>
      <c r="G81" s="258"/>
      <c r="H81" s="258"/>
      <c r="I81" s="258"/>
      <c r="J81" s="258"/>
      <c r="K81" s="256"/>
      <c r="L81" s="258"/>
      <c r="M81" s="260">
        <f>4912+23-2213</f>
        <v>2722</v>
      </c>
      <c r="N81" s="264"/>
      <c r="O81" s="6"/>
    </row>
    <row r="82" spans="1:16" ht="15.6" x14ac:dyDescent="0.3">
      <c r="A82" s="307"/>
      <c r="B82" s="258" t="s">
        <v>205</v>
      </c>
      <c r="C82" s="290"/>
      <c r="D82" s="325"/>
      <c r="E82" s="326"/>
      <c r="F82" s="258"/>
      <c r="G82" s="258"/>
      <c r="H82" s="258"/>
      <c r="I82" s="258"/>
      <c r="J82" s="258"/>
      <c r="K82" s="256"/>
      <c r="L82" s="258"/>
      <c r="M82" s="260">
        <v>172</v>
      </c>
      <c r="N82" s="264"/>
      <c r="O82" s="6"/>
    </row>
    <row r="83" spans="1:16" ht="15.6" x14ac:dyDescent="0.3">
      <c r="A83" s="307"/>
      <c r="B83" s="258" t="s">
        <v>206</v>
      </c>
      <c r="C83" s="290"/>
      <c r="D83" s="325"/>
      <c r="E83" s="326"/>
      <c r="F83" s="258"/>
      <c r="G83" s="258"/>
      <c r="H83" s="258"/>
      <c r="I83" s="258"/>
      <c r="J83" s="258"/>
      <c r="K83" s="256"/>
      <c r="L83" s="258"/>
      <c r="M83" s="260">
        <v>35</v>
      </c>
      <c r="N83" s="264"/>
      <c r="O83" s="6"/>
      <c r="P83" s="117"/>
    </row>
    <row r="84" spans="1:16" ht="15.6" x14ac:dyDescent="0.3">
      <c r="A84" s="307"/>
      <c r="B84" s="258" t="s">
        <v>44</v>
      </c>
      <c r="C84" s="258"/>
      <c r="D84" s="258"/>
      <c r="E84" s="258"/>
      <c r="F84" s="258"/>
      <c r="G84" s="258"/>
      <c r="H84" s="258"/>
      <c r="I84" s="258"/>
      <c r="J84" s="258"/>
      <c r="K84" s="256"/>
      <c r="L84" s="258"/>
      <c r="M84" s="260"/>
      <c r="N84" s="264"/>
      <c r="O84" s="6"/>
    </row>
    <row r="85" spans="1:16" ht="15.6" x14ac:dyDescent="0.3">
      <c r="A85" s="307"/>
      <c r="B85" s="258" t="s">
        <v>45</v>
      </c>
      <c r="C85" s="258"/>
      <c r="D85" s="258"/>
      <c r="E85" s="258"/>
      <c r="F85" s="258"/>
      <c r="G85" s="258"/>
      <c r="H85" s="258"/>
      <c r="I85" s="258"/>
      <c r="J85" s="258"/>
      <c r="K85" s="256">
        <f>SUM(K79:K84)</f>
        <v>4061</v>
      </c>
      <c r="L85" s="258"/>
      <c r="M85" s="256">
        <f>SUM(M79:M84)</f>
        <v>2929</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4061</v>
      </c>
      <c r="L87" s="258"/>
      <c r="M87" s="256">
        <f>M85+M86</f>
        <v>2929</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-44-41-1</f>
        <v>-86</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-174</v>
      </c>
      <c r="N93" s="311"/>
      <c r="O93" s="6"/>
    </row>
    <row r="94" spans="1:16" ht="15.6" x14ac:dyDescent="0.3">
      <c r="A94" s="255">
        <v>5</v>
      </c>
      <c r="B94" s="258" t="s">
        <v>52</v>
      </c>
      <c r="C94" s="258"/>
      <c r="D94" s="258"/>
      <c r="E94" s="258"/>
      <c r="F94" s="258"/>
      <c r="G94" s="258"/>
      <c r="H94" s="258"/>
      <c r="I94" s="258"/>
      <c r="J94" s="258"/>
      <c r="K94" s="258"/>
      <c r="L94" s="258"/>
      <c r="M94" s="260">
        <v>-180</v>
      </c>
      <c r="N94" s="311"/>
      <c r="O94" s="6"/>
    </row>
    <row r="95" spans="1:16" ht="15.6" x14ac:dyDescent="0.3">
      <c r="A95" s="255">
        <v>6</v>
      </c>
      <c r="B95" s="258" t="s">
        <v>172</v>
      </c>
      <c r="C95" s="258"/>
      <c r="D95" s="258"/>
      <c r="E95" s="258"/>
      <c r="F95" s="258"/>
      <c r="G95" s="258"/>
      <c r="H95" s="258"/>
      <c r="I95" s="258"/>
      <c r="J95" s="258"/>
      <c r="K95" s="258"/>
      <c r="L95" s="258"/>
      <c r="M95" s="260">
        <v>-142</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1019</v>
      </c>
      <c r="L97" s="258"/>
      <c r="M97" s="260">
        <v>-1019</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-44</v>
      </c>
      <c r="N101" s="311"/>
      <c r="O101" s="6"/>
    </row>
    <row r="102" spans="1:16" ht="15.6" x14ac:dyDescent="0.3">
      <c r="A102" s="255">
        <v>13</v>
      </c>
      <c r="B102" s="258" t="s">
        <v>195</v>
      </c>
      <c r="C102" s="258"/>
      <c r="D102" s="258"/>
      <c r="E102" s="258"/>
      <c r="F102" s="258"/>
      <c r="G102" s="258"/>
      <c r="H102" s="258"/>
      <c r="I102" s="258"/>
      <c r="J102" s="258"/>
      <c r="K102" s="258"/>
      <c r="L102" s="258"/>
      <c r="M102" s="260">
        <f>-M87-SUM(M89:M101)</f>
        <v>-1275</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-K153</f>
        <v>0</v>
      </c>
      <c r="L104" s="256"/>
      <c r="M104" s="260"/>
      <c r="N104" s="311"/>
      <c r="O104" s="6"/>
    </row>
    <row r="105" spans="1:16" ht="15.6" x14ac:dyDescent="0.3">
      <c r="A105" s="307"/>
      <c r="B105" s="258" t="s">
        <v>58</v>
      </c>
      <c r="C105" s="258"/>
      <c r="D105" s="258"/>
      <c r="E105" s="258"/>
      <c r="F105" s="258"/>
      <c r="G105" s="258"/>
      <c r="H105" s="258"/>
      <c r="I105" s="258"/>
      <c r="J105" s="258"/>
      <c r="K105" s="256">
        <f>-I153</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-2738</v>
      </c>
      <c r="L107" s="256"/>
      <c r="M107" s="260"/>
      <c r="N107" s="311"/>
      <c r="O107" s="6"/>
    </row>
    <row r="108" spans="1:16" ht="15.6" x14ac:dyDescent="0.3">
      <c r="A108" s="307"/>
      <c r="B108" s="258" t="s">
        <v>59</v>
      </c>
      <c r="C108" s="258"/>
      <c r="D108" s="258"/>
      <c r="E108" s="258"/>
      <c r="F108" s="258"/>
      <c r="G108" s="258"/>
      <c r="H108" s="258"/>
      <c r="I108" s="258"/>
      <c r="J108" s="258"/>
      <c r="K108" s="256">
        <v>-1426</v>
      </c>
      <c r="L108" s="256"/>
      <c r="M108" s="260"/>
      <c r="N108" s="311"/>
      <c r="O108" s="6"/>
    </row>
    <row r="109" spans="1:16" ht="15.6" x14ac:dyDescent="0.3">
      <c r="A109" s="307"/>
      <c r="B109" s="258" t="s">
        <v>186</v>
      </c>
      <c r="C109" s="258"/>
      <c r="D109" s="258"/>
      <c r="E109" s="258"/>
      <c r="F109" s="258"/>
      <c r="G109" s="258"/>
      <c r="H109" s="258"/>
      <c r="I109" s="258"/>
      <c r="J109" s="258"/>
      <c r="K109" s="256">
        <v>-916</v>
      </c>
      <c r="L109" s="256"/>
      <c r="M109" s="260"/>
      <c r="N109" s="311"/>
      <c r="O109" s="6"/>
    </row>
    <row r="110" spans="1:16" ht="15.6" x14ac:dyDescent="0.3">
      <c r="A110" s="307"/>
      <c r="B110" s="258" t="s">
        <v>60</v>
      </c>
      <c r="C110" s="258"/>
      <c r="D110" s="258"/>
      <c r="E110" s="258"/>
      <c r="F110" s="258"/>
      <c r="G110" s="258"/>
      <c r="H110" s="258"/>
      <c r="I110" s="258"/>
      <c r="J110" s="258"/>
      <c r="K110" s="256">
        <f>+K105+K106+K107+K108+K109</f>
        <v>-5080</v>
      </c>
      <c r="L110" s="256"/>
      <c r="M110" s="256">
        <f>SUM(M88:M109)</f>
        <v>-2929</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OCTOBER 2012</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70</v>
      </c>
      <c r="C127" s="258"/>
      <c r="D127" s="258"/>
      <c r="E127" s="258"/>
      <c r="F127" s="258"/>
      <c r="G127" s="258"/>
      <c r="H127" s="258"/>
      <c r="I127" s="258"/>
      <c r="J127" s="258"/>
      <c r="K127" s="258"/>
      <c r="L127" s="258"/>
      <c r="M127" s="260">
        <f>SUM(M119:M126)</f>
        <v>13500</v>
      </c>
      <c r="N127" s="264"/>
      <c r="O127" s="6"/>
    </row>
    <row r="128" spans="1:15" ht="15.6" x14ac:dyDescent="0.3">
      <c r="A128" s="165"/>
      <c r="B128" s="271"/>
      <c r="C128" s="271"/>
      <c r="D128" s="271"/>
      <c r="E128" s="271"/>
      <c r="F128" s="271"/>
      <c r="G128" s="271"/>
      <c r="H128" s="271"/>
      <c r="I128" s="271"/>
      <c r="J128" s="271"/>
      <c r="K128" s="271"/>
      <c r="L128" s="271"/>
      <c r="M128" s="312"/>
      <c r="N128" s="271"/>
      <c r="O128" s="6"/>
    </row>
    <row r="129" spans="1:15" ht="15.6" x14ac:dyDescent="0.3">
      <c r="A129" s="165"/>
      <c r="B129" s="193" t="s">
        <v>37</v>
      </c>
      <c r="C129" s="167"/>
      <c r="D129" s="167"/>
      <c r="E129" s="167"/>
      <c r="F129" s="167"/>
      <c r="G129" s="167"/>
      <c r="H129" s="167"/>
      <c r="I129" s="167"/>
      <c r="J129" s="167"/>
      <c r="K129" s="167"/>
      <c r="L129" s="167"/>
      <c r="M129" s="186"/>
      <c r="N129" s="167"/>
      <c r="O129" s="6"/>
    </row>
    <row r="130" spans="1:15" ht="15.6" x14ac:dyDescent="0.3">
      <c r="A130" s="307"/>
      <c r="B130" s="258" t="s">
        <v>71</v>
      </c>
      <c r="C130" s="258"/>
      <c r="D130" s="258"/>
      <c r="E130" s="320"/>
      <c r="F130" s="258"/>
      <c r="G130" s="258"/>
      <c r="H130" s="258"/>
      <c r="I130" s="258"/>
      <c r="J130" s="258"/>
      <c r="K130" s="258"/>
      <c r="L130" s="258"/>
      <c r="M130" s="292" t="s">
        <v>136</v>
      </c>
      <c r="N130" s="264"/>
      <c r="O130" s="6"/>
    </row>
    <row r="131" spans="1:15" ht="15.6" x14ac:dyDescent="0.3">
      <c r="A131" s="307"/>
      <c r="B131" s="258" t="s">
        <v>72</v>
      </c>
      <c r="C131" s="321"/>
      <c r="D131" s="321"/>
      <c r="E131" s="321"/>
      <c r="F131" s="321"/>
      <c r="G131" s="321"/>
      <c r="H131" s="321"/>
      <c r="I131" s="321"/>
      <c r="J131" s="321"/>
      <c r="K131" s="321"/>
      <c r="L131" s="321"/>
      <c r="M131" s="292" t="s">
        <v>136</v>
      </c>
      <c r="N131" s="264"/>
      <c r="O131" s="6"/>
    </row>
    <row r="132" spans="1:15" ht="15.6" x14ac:dyDescent="0.3">
      <c r="A132" s="307"/>
      <c r="B132" s="258" t="s">
        <v>73</v>
      </c>
      <c r="C132" s="258"/>
      <c r="D132" s="258"/>
      <c r="E132" s="258"/>
      <c r="F132" s="258"/>
      <c r="G132" s="258"/>
      <c r="H132" s="258"/>
      <c r="I132" s="258"/>
      <c r="J132" s="258"/>
      <c r="K132" s="258"/>
      <c r="L132" s="258"/>
      <c r="M132" s="292" t="s">
        <v>136</v>
      </c>
      <c r="N132" s="264"/>
      <c r="O132" s="6"/>
    </row>
    <row r="133" spans="1:15" ht="15.6" x14ac:dyDescent="0.3">
      <c r="A133" s="307"/>
      <c r="B133" s="258" t="s">
        <v>74</v>
      </c>
      <c r="C133" s="258"/>
      <c r="D133" s="258"/>
      <c r="E133" s="258"/>
      <c r="F133" s="258"/>
      <c r="G133" s="258"/>
      <c r="H133" s="258"/>
      <c r="I133" s="258"/>
      <c r="J133" s="258"/>
      <c r="K133" s="258"/>
      <c r="L133" s="258"/>
      <c r="M133" s="292" t="s">
        <v>136</v>
      </c>
      <c r="N133" s="264"/>
      <c r="O133" s="6"/>
    </row>
    <row r="134" spans="1:15" ht="15.6" x14ac:dyDescent="0.3">
      <c r="A134" s="165"/>
      <c r="B134" s="271"/>
      <c r="C134" s="271"/>
      <c r="D134" s="271"/>
      <c r="E134" s="271"/>
      <c r="F134" s="271"/>
      <c r="G134" s="271"/>
      <c r="H134" s="271"/>
      <c r="I134" s="271"/>
      <c r="J134" s="271"/>
      <c r="K134" s="271"/>
      <c r="L134" s="271"/>
      <c r="M134" s="312"/>
      <c r="N134" s="271"/>
      <c r="O134" s="6"/>
    </row>
    <row r="135" spans="1:15" ht="15.6" x14ac:dyDescent="0.3">
      <c r="A135" s="165"/>
      <c r="B135" s="193" t="s">
        <v>75</v>
      </c>
      <c r="C135" s="175"/>
      <c r="D135" s="175"/>
      <c r="E135" s="167"/>
      <c r="F135" s="167"/>
      <c r="G135" s="167"/>
      <c r="H135" s="167"/>
      <c r="I135" s="167"/>
      <c r="J135" s="167"/>
      <c r="K135" s="167"/>
      <c r="L135" s="167"/>
      <c r="M135" s="194"/>
      <c r="N135" s="167"/>
      <c r="O135" s="6"/>
    </row>
    <row r="136" spans="1:15" ht="15.6" x14ac:dyDescent="0.3">
      <c r="A136" s="307"/>
      <c r="B136" s="258" t="s">
        <v>76</v>
      </c>
      <c r="C136" s="258"/>
      <c r="D136" s="258"/>
      <c r="E136" s="258"/>
      <c r="F136" s="258"/>
      <c r="G136" s="258"/>
      <c r="H136" s="258"/>
      <c r="I136" s="258"/>
      <c r="J136" s="258"/>
      <c r="K136" s="258"/>
      <c r="L136" s="258"/>
      <c r="M136" s="260">
        <v>0</v>
      </c>
      <c r="N136" s="264"/>
      <c r="O136" s="6"/>
    </row>
    <row r="137" spans="1:15" ht="15.6" x14ac:dyDescent="0.3">
      <c r="A137" s="307"/>
      <c r="B137" s="258" t="s">
        <v>190</v>
      </c>
      <c r="C137" s="258"/>
      <c r="D137" s="258"/>
      <c r="E137" s="258"/>
      <c r="F137" s="258"/>
      <c r="G137" s="258"/>
      <c r="H137" s="258"/>
      <c r="I137" s="258"/>
      <c r="J137" s="258"/>
      <c r="K137" s="258"/>
      <c r="L137" s="258"/>
      <c r="M137" s="260">
        <v>428</v>
      </c>
      <c r="N137" s="264"/>
      <c r="O137" s="6"/>
    </row>
    <row r="138" spans="1:15" ht="15.6" x14ac:dyDescent="0.3">
      <c r="A138" s="307"/>
      <c r="B138" s="258" t="s">
        <v>180</v>
      </c>
      <c r="C138" s="258"/>
      <c r="D138" s="258"/>
      <c r="E138" s="258"/>
      <c r="F138" s="258"/>
      <c r="G138" s="258"/>
      <c r="H138" s="258"/>
      <c r="I138" s="258"/>
      <c r="J138" s="258"/>
      <c r="K138" s="258"/>
      <c r="L138" s="258"/>
      <c r="M138" s="260">
        <f>23+568</f>
        <v>591</v>
      </c>
      <c r="N138" s="264"/>
      <c r="O138" s="6"/>
    </row>
    <row r="139" spans="1:15" ht="15.6" x14ac:dyDescent="0.3">
      <c r="A139" s="307"/>
      <c r="B139" s="258" t="s">
        <v>77</v>
      </c>
      <c r="C139" s="258"/>
      <c r="D139" s="258"/>
      <c r="E139" s="258"/>
      <c r="F139" s="258"/>
      <c r="G139" s="258"/>
      <c r="H139" s="258"/>
      <c r="I139" s="258"/>
      <c r="J139" s="258"/>
      <c r="K139" s="258"/>
      <c r="L139" s="258"/>
      <c r="M139" s="260">
        <f>M137+M136+M138</f>
        <v>1019</v>
      </c>
      <c r="N139" s="264"/>
      <c r="O139" s="6"/>
    </row>
    <row r="140" spans="1:15" ht="15.6" x14ac:dyDescent="0.3">
      <c r="A140" s="307"/>
      <c r="B140" s="258" t="s">
        <v>183</v>
      </c>
      <c r="C140" s="258"/>
      <c r="D140" s="258"/>
      <c r="E140" s="258"/>
      <c r="F140" s="258"/>
      <c r="G140" s="258"/>
      <c r="H140" s="258"/>
      <c r="I140" s="303"/>
      <c r="J140" s="258"/>
      <c r="K140" s="258"/>
      <c r="L140" s="258"/>
      <c r="M140" s="260">
        <f>M97</f>
        <v>-1019</v>
      </c>
      <c r="N140" s="264"/>
      <c r="O140" s="6"/>
    </row>
    <row r="141" spans="1:15" ht="15.6" x14ac:dyDescent="0.3">
      <c r="A141" s="307"/>
      <c r="B141" s="258" t="s">
        <v>78</v>
      </c>
      <c r="C141" s="258"/>
      <c r="D141" s="258"/>
      <c r="E141" s="258"/>
      <c r="F141" s="258"/>
      <c r="G141" s="258"/>
      <c r="H141" s="258"/>
      <c r="I141" s="258"/>
      <c r="J141" s="258"/>
      <c r="K141" s="258"/>
      <c r="L141" s="258"/>
      <c r="M141" s="260">
        <f>M139+M140</f>
        <v>0</v>
      </c>
      <c r="N141" s="264"/>
      <c r="O141" s="6"/>
    </row>
    <row r="142" spans="1:15" ht="16.2" thickBot="1" x14ac:dyDescent="0.35">
      <c r="A142" s="165"/>
      <c r="B142" s="271"/>
      <c r="C142" s="271"/>
      <c r="D142" s="271"/>
      <c r="E142" s="271"/>
      <c r="F142" s="271"/>
      <c r="G142" s="271"/>
      <c r="H142" s="271"/>
      <c r="I142" s="271"/>
      <c r="J142" s="271"/>
      <c r="K142" s="271"/>
      <c r="L142" s="271"/>
      <c r="M142" s="312"/>
      <c r="N142" s="271"/>
      <c r="O142" s="6"/>
    </row>
    <row r="143" spans="1:15" ht="15.6" x14ac:dyDescent="0.3">
      <c r="A143" s="162"/>
      <c r="B143" s="164"/>
      <c r="C143" s="164"/>
      <c r="D143" s="164"/>
      <c r="E143" s="164"/>
      <c r="F143" s="164"/>
      <c r="G143" s="164"/>
      <c r="H143" s="164"/>
      <c r="I143" s="164"/>
      <c r="J143" s="164"/>
      <c r="K143" s="164"/>
      <c r="L143" s="164"/>
      <c r="M143" s="185"/>
      <c r="N143" s="164"/>
      <c r="O143" s="6"/>
    </row>
    <row r="144" spans="1:15" ht="15.6" x14ac:dyDescent="0.3">
      <c r="A144" s="165"/>
      <c r="B144" s="193" t="s">
        <v>79</v>
      </c>
      <c r="C144" s="175"/>
      <c r="D144" s="175"/>
      <c r="E144" s="167"/>
      <c r="F144" s="167"/>
      <c r="G144" s="167"/>
      <c r="H144" s="167"/>
      <c r="I144" s="167"/>
      <c r="J144" s="167"/>
      <c r="K144" s="167"/>
      <c r="L144" s="167"/>
      <c r="M144" s="186"/>
      <c r="N144" s="167"/>
      <c r="O144" s="6"/>
    </row>
    <row r="145" spans="1:16" ht="15.6" x14ac:dyDescent="0.3">
      <c r="A145" s="165"/>
      <c r="B145" s="177"/>
      <c r="C145" s="175"/>
      <c r="D145" s="175"/>
      <c r="E145" s="167"/>
      <c r="F145" s="167"/>
      <c r="G145" s="167"/>
      <c r="H145" s="167"/>
      <c r="I145" s="167"/>
      <c r="J145" s="167"/>
      <c r="K145" s="167"/>
      <c r="L145" s="167"/>
      <c r="M145" s="186"/>
      <c r="N145" s="167"/>
      <c r="O145" s="6"/>
    </row>
    <row r="146" spans="1:16" ht="15.6" x14ac:dyDescent="0.3">
      <c r="A146" s="314"/>
      <c r="B146" s="315" t="s">
        <v>188</v>
      </c>
      <c r="C146" s="316"/>
      <c r="D146" s="316"/>
      <c r="E146" s="315"/>
      <c r="F146" s="315"/>
      <c r="G146" s="315"/>
      <c r="H146" s="315"/>
      <c r="I146" s="315"/>
      <c r="J146" s="315"/>
      <c r="K146" s="315"/>
      <c r="L146" s="315"/>
      <c r="M146" s="317">
        <f>+M62+M72+M73</f>
        <v>110897</v>
      </c>
      <c r="N146" s="318"/>
      <c r="O146" s="6"/>
      <c r="P146" s="117"/>
    </row>
    <row r="147" spans="1:16" ht="15.6" x14ac:dyDescent="0.3">
      <c r="A147" s="307"/>
      <c r="B147" s="258" t="s">
        <v>80</v>
      </c>
      <c r="C147" s="319"/>
      <c r="D147" s="319"/>
      <c r="E147" s="258"/>
      <c r="F147" s="258"/>
      <c r="G147" s="258"/>
      <c r="H147" s="258"/>
      <c r="I147" s="258"/>
      <c r="J147" s="258"/>
      <c r="K147" s="258"/>
      <c r="L147" s="258"/>
      <c r="M147" s="260">
        <f>M75</f>
        <v>110897</v>
      </c>
      <c r="N147" s="264"/>
      <c r="O147" s="6"/>
    </row>
    <row r="148" spans="1:16" ht="16.2" thickBot="1" x14ac:dyDescent="0.35">
      <c r="A148" s="165"/>
      <c r="B148" s="271"/>
      <c r="C148" s="271"/>
      <c r="D148" s="271"/>
      <c r="E148" s="271"/>
      <c r="F148" s="271"/>
      <c r="G148" s="271"/>
      <c r="H148" s="271"/>
      <c r="I148" s="271"/>
      <c r="J148" s="271"/>
      <c r="K148" s="271"/>
      <c r="L148" s="271"/>
      <c r="M148" s="312"/>
      <c r="N148" s="271"/>
      <c r="O148" s="6"/>
    </row>
    <row r="149" spans="1:16" ht="15.6" x14ac:dyDescent="0.3">
      <c r="A149" s="162"/>
      <c r="B149" s="164"/>
      <c r="C149" s="164"/>
      <c r="D149" s="164"/>
      <c r="E149" s="164"/>
      <c r="F149" s="164"/>
      <c r="G149" s="164"/>
      <c r="H149" s="164"/>
      <c r="I149" s="164"/>
      <c r="J149" s="164"/>
      <c r="K149" s="164"/>
      <c r="L149" s="164"/>
      <c r="M149" s="185"/>
      <c r="N149" s="164"/>
      <c r="O149" s="6"/>
    </row>
    <row r="150" spans="1:16" ht="15.6" x14ac:dyDescent="0.3">
      <c r="A150" s="165"/>
      <c r="B150" s="193" t="s">
        <v>81</v>
      </c>
      <c r="C150" s="169"/>
      <c r="D150" s="169"/>
      <c r="E150" s="190"/>
      <c r="F150" s="190"/>
      <c r="G150" s="190"/>
      <c r="H150" s="190"/>
      <c r="I150" s="195" t="s">
        <v>127</v>
      </c>
      <c r="J150" s="195"/>
      <c r="K150" s="195" t="s">
        <v>134</v>
      </c>
      <c r="L150" s="169"/>
      <c r="M150" s="196" t="s">
        <v>144</v>
      </c>
      <c r="N150" s="197"/>
      <c r="O150" s="6"/>
    </row>
    <row r="151" spans="1:16" ht="15.6" x14ac:dyDescent="0.3">
      <c r="A151" s="307"/>
      <c r="B151" s="258" t="s">
        <v>82</v>
      </c>
      <c r="C151" s="258"/>
      <c r="D151" s="258"/>
      <c r="E151" s="258"/>
      <c r="F151" s="258"/>
      <c r="G151" s="258"/>
      <c r="H151" s="258"/>
      <c r="I151" s="260">
        <v>15000</v>
      </c>
      <c r="J151" s="258"/>
      <c r="K151" s="313">
        <v>5000</v>
      </c>
      <c r="L151" s="258"/>
      <c r="M151" s="260">
        <v>15000</v>
      </c>
      <c r="N151" s="311"/>
      <c r="O151" s="6"/>
    </row>
    <row r="152" spans="1:16" ht="15.6" x14ac:dyDescent="0.3">
      <c r="A152" s="307"/>
      <c r="B152" s="258" t="s">
        <v>83</v>
      </c>
      <c r="C152" s="258"/>
      <c r="D152" s="258"/>
      <c r="E152" s="258"/>
      <c r="F152" s="258"/>
      <c r="G152" s="258"/>
      <c r="H152" s="258"/>
      <c r="I152" s="260">
        <f>+'July 12'!I154</f>
        <v>7636</v>
      </c>
      <c r="J152" s="258"/>
      <c r="K152" s="260">
        <v>0</v>
      </c>
      <c r="L152" s="258"/>
      <c r="M152" s="260">
        <f>K152+I152</f>
        <v>7636</v>
      </c>
      <c r="N152" s="311"/>
      <c r="O152" s="6"/>
    </row>
    <row r="153" spans="1:16" ht="15.6" x14ac:dyDescent="0.3">
      <c r="A153" s="307"/>
      <c r="B153" s="258" t="s">
        <v>84</v>
      </c>
      <c r="C153" s="258"/>
      <c r="D153" s="258"/>
      <c r="E153" s="258"/>
      <c r="F153" s="258"/>
      <c r="G153" s="258"/>
      <c r="H153" s="258"/>
      <c r="I153" s="256">
        <v>0</v>
      </c>
      <c r="J153" s="258"/>
      <c r="K153" s="258">
        <v>0</v>
      </c>
      <c r="L153" s="258"/>
      <c r="M153" s="260">
        <f>K153+I153</f>
        <v>0</v>
      </c>
      <c r="N153" s="311"/>
      <c r="O153" s="6"/>
    </row>
    <row r="154" spans="1:16" ht="15.6" x14ac:dyDescent="0.3">
      <c r="A154" s="307"/>
      <c r="B154" s="258" t="s">
        <v>85</v>
      </c>
      <c r="C154" s="258"/>
      <c r="D154" s="258"/>
      <c r="E154" s="258"/>
      <c r="F154" s="258"/>
      <c r="G154" s="258"/>
      <c r="H154" s="258"/>
      <c r="I154" s="260">
        <f>I152+I153</f>
        <v>7636</v>
      </c>
      <c r="J154" s="258"/>
      <c r="K154" s="260">
        <f>K153+K152</f>
        <v>0</v>
      </c>
      <c r="L154" s="258"/>
      <c r="M154" s="260">
        <f>K154+I154</f>
        <v>7636</v>
      </c>
      <c r="N154" s="311"/>
      <c r="O154" s="6"/>
    </row>
    <row r="155" spans="1:16" ht="15.6" x14ac:dyDescent="0.3">
      <c r="A155" s="307"/>
      <c r="B155" s="258" t="s">
        <v>86</v>
      </c>
      <c r="C155" s="258"/>
      <c r="D155" s="258"/>
      <c r="E155" s="258"/>
      <c r="F155" s="258"/>
      <c r="G155" s="258"/>
      <c r="H155" s="258"/>
      <c r="I155" s="260">
        <f>I151-I154-K154</f>
        <v>7364</v>
      </c>
      <c r="J155" s="258"/>
      <c r="K155" s="290">
        <v>0</v>
      </c>
      <c r="L155" s="258"/>
      <c r="M155" s="260"/>
      <c r="N155" s="311"/>
      <c r="O155" s="6"/>
    </row>
    <row r="156" spans="1:16" ht="16.2" thickBot="1" x14ac:dyDescent="0.35">
      <c r="A156" s="165"/>
      <c r="B156" s="271"/>
      <c r="C156" s="271"/>
      <c r="D156" s="271"/>
      <c r="E156" s="271"/>
      <c r="F156" s="271"/>
      <c r="G156" s="271"/>
      <c r="H156" s="271"/>
      <c r="I156" s="271"/>
      <c r="J156" s="271"/>
      <c r="K156" s="271"/>
      <c r="L156" s="271"/>
      <c r="M156" s="312"/>
      <c r="N156" s="271"/>
      <c r="O156" s="6"/>
    </row>
    <row r="157" spans="1:16" ht="15.6" x14ac:dyDescent="0.3">
      <c r="A157" s="162"/>
      <c r="B157" s="164"/>
      <c r="C157" s="164"/>
      <c r="D157" s="164"/>
      <c r="E157" s="164"/>
      <c r="F157" s="164"/>
      <c r="G157" s="164"/>
      <c r="H157" s="164"/>
      <c r="I157" s="164"/>
      <c r="J157" s="164"/>
      <c r="K157" s="164"/>
      <c r="L157" s="164"/>
      <c r="M157" s="185"/>
      <c r="N157" s="164"/>
      <c r="O157" s="6"/>
    </row>
    <row r="158" spans="1:16" ht="15.6" x14ac:dyDescent="0.3">
      <c r="A158" s="165"/>
      <c r="B158" s="193" t="s">
        <v>87</v>
      </c>
      <c r="C158" s="175"/>
      <c r="D158" s="175"/>
      <c r="E158" s="167"/>
      <c r="F158" s="167"/>
      <c r="G158" s="167"/>
      <c r="H158" s="167"/>
      <c r="I158" s="167"/>
      <c r="J158" s="167"/>
      <c r="K158" s="167"/>
      <c r="L158" s="167"/>
      <c r="M158" s="198"/>
      <c r="N158" s="167"/>
      <c r="O158" s="6"/>
    </row>
    <row r="159" spans="1:16" ht="15.6" x14ac:dyDescent="0.3">
      <c r="A159" s="307"/>
      <c r="B159" s="258" t="s">
        <v>88</v>
      </c>
      <c r="C159" s="258"/>
      <c r="D159" s="258"/>
      <c r="E159" s="258"/>
      <c r="F159" s="258"/>
      <c r="G159" s="258"/>
      <c r="H159" s="258"/>
      <c r="I159" s="258"/>
      <c r="J159" s="258"/>
      <c r="K159" s="258"/>
      <c r="L159" s="258"/>
      <c r="M159" s="308">
        <f>(M87+M89+M90+M91+M92)/-M93</f>
        <v>16.327586206896552</v>
      </c>
      <c r="N159" s="264" t="s">
        <v>145</v>
      </c>
      <c r="O159" s="6"/>
    </row>
    <row r="160" spans="1:16" ht="15.6" x14ac:dyDescent="0.3">
      <c r="A160" s="307"/>
      <c r="B160" s="258" t="s">
        <v>89</v>
      </c>
      <c r="C160" s="258"/>
      <c r="D160" s="258"/>
      <c r="E160" s="258"/>
      <c r="F160" s="258"/>
      <c r="G160" s="258"/>
      <c r="H160" s="258"/>
      <c r="I160" s="258"/>
      <c r="J160" s="258"/>
      <c r="K160" s="258"/>
      <c r="L160" s="258"/>
      <c r="M160" s="309">
        <v>3.3</v>
      </c>
      <c r="N160" s="264" t="s">
        <v>145</v>
      </c>
      <c r="O160" s="6"/>
    </row>
    <row r="161" spans="1:15" ht="15.6" x14ac:dyDescent="0.3">
      <c r="A161" s="307"/>
      <c r="B161" s="258" t="s">
        <v>90</v>
      </c>
      <c r="C161" s="258"/>
      <c r="D161" s="258"/>
      <c r="E161" s="258"/>
      <c r="F161" s="258"/>
      <c r="G161" s="258"/>
      <c r="H161" s="258"/>
      <c r="I161" s="258"/>
      <c r="J161" s="258"/>
      <c r="K161" s="258"/>
      <c r="L161" s="258"/>
      <c r="M161" s="308">
        <f>(M87+M89+M90+M91+M92+M93)/-M94</f>
        <v>14.816666666666666</v>
      </c>
      <c r="N161" s="264" t="s">
        <v>145</v>
      </c>
      <c r="O161" s="6"/>
    </row>
    <row r="162" spans="1:15" ht="15.6" x14ac:dyDescent="0.3">
      <c r="A162" s="307"/>
      <c r="B162" s="258" t="s">
        <v>91</v>
      </c>
      <c r="C162" s="258"/>
      <c r="D162" s="258"/>
      <c r="E162" s="258"/>
      <c r="F162" s="258"/>
      <c r="G162" s="258"/>
      <c r="H162" s="258"/>
      <c r="I162" s="258"/>
      <c r="J162" s="258"/>
      <c r="K162" s="258"/>
      <c r="L162" s="258"/>
      <c r="M162" s="310">
        <v>9.31</v>
      </c>
      <c r="N162" s="264" t="s">
        <v>145</v>
      </c>
      <c r="O162" s="6"/>
    </row>
    <row r="163" spans="1:15" ht="15.6" x14ac:dyDescent="0.3">
      <c r="A163" s="307"/>
      <c r="B163" s="258" t="s">
        <v>181</v>
      </c>
      <c r="C163" s="258"/>
      <c r="D163" s="258"/>
      <c r="E163" s="258"/>
      <c r="F163" s="258"/>
      <c r="G163" s="258"/>
      <c r="H163" s="258"/>
      <c r="I163" s="258"/>
      <c r="J163" s="258"/>
      <c r="K163" s="258"/>
      <c r="L163" s="258"/>
      <c r="M163" s="308">
        <f>(M87+M89+M90+M91+M92+M93+M94)/-M95</f>
        <v>17.514084507042252</v>
      </c>
      <c r="N163" s="264" t="s">
        <v>145</v>
      </c>
      <c r="O163" s="6"/>
    </row>
    <row r="164" spans="1:15" ht="15.6" x14ac:dyDescent="0.3">
      <c r="A164" s="307"/>
      <c r="B164" s="258" t="s">
        <v>182</v>
      </c>
      <c r="C164" s="258"/>
      <c r="D164" s="258"/>
      <c r="E164" s="258"/>
      <c r="F164" s="258"/>
      <c r="G164" s="258"/>
      <c r="H164" s="258"/>
      <c r="I164" s="258"/>
      <c r="J164" s="258"/>
      <c r="K164" s="258"/>
      <c r="L164" s="258"/>
      <c r="M164" s="310">
        <v>11.97</v>
      </c>
      <c r="N164" s="264" t="s">
        <v>145</v>
      </c>
      <c r="O164" s="6"/>
    </row>
    <row r="165" spans="1:15" ht="15.6" x14ac:dyDescent="0.3">
      <c r="A165" s="307"/>
      <c r="B165" s="280"/>
      <c r="C165" s="280"/>
      <c r="D165" s="280"/>
      <c r="E165" s="280"/>
      <c r="F165" s="280"/>
      <c r="G165" s="280"/>
      <c r="H165" s="280"/>
      <c r="I165" s="280"/>
      <c r="J165" s="280"/>
      <c r="K165" s="280"/>
      <c r="L165" s="280"/>
      <c r="M165" s="280"/>
      <c r="N165" s="311"/>
      <c r="O165" s="6"/>
    </row>
    <row r="166" spans="1:15" ht="15.6" x14ac:dyDescent="0.3">
      <c r="A166" s="165"/>
      <c r="B166" s="271"/>
      <c r="C166" s="271"/>
      <c r="D166" s="271"/>
      <c r="E166" s="271"/>
      <c r="F166" s="271"/>
      <c r="G166" s="271"/>
      <c r="H166" s="271"/>
      <c r="I166" s="271"/>
      <c r="J166" s="271"/>
      <c r="K166" s="271"/>
      <c r="L166" s="271"/>
      <c r="M166" s="271"/>
      <c r="N166" s="271"/>
      <c r="O166" s="6"/>
    </row>
    <row r="167" spans="1:15" ht="15.6" x14ac:dyDescent="0.3">
      <c r="A167" s="165"/>
      <c r="B167" s="167"/>
      <c r="C167" s="167"/>
      <c r="D167" s="167"/>
      <c r="E167" s="167"/>
      <c r="F167" s="167"/>
      <c r="G167" s="167"/>
      <c r="H167" s="167"/>
      <c r="I167" s="167"/>
      <c r="J167" s="167"/>
      <c r="K167" s="167"/>
      <c r="L167" s="167"/>
      <c r="M167" s="167"/>
      <c r="N167" s="167"/>
      <c r="O167" s="6"/>
    </row>
    <row r="168" spans="1:15" ht="18" thickBot="1" x14ac:dyDescent="0.35">
      <c r="A168" s="181"/>
      <c r="B168" s="219" t="str">
        <f>B114</f>
        <v>PSF1 INVESTOR REPORT QUARTER ENDING OCTOBER 2012</v>
      </c>
      <c r="C168" s="199"/>
      <c r="D168" s="199"/>
      <c r="E168" s="199"/>
      <c r="F168" s="199"/>
      <c r="G168" s="199"/>
      <c r="H168" s="199"/>
      <c r="I168" s="199"/>
      <c r="J168" s="199"/>
      <c r="K168" s="199"/>
      <c r="L168" s="199"/>
      <c r="M168" s="199"/>
      <c r="N168" s="200"/>
      <c r="O168" s="6"/>
    </row>
    <row r="169" spans="1:15" ht="15.6" x14ac:dyDescent="0.3">
      <c r="A169" s="244"/>
      <c r="B169" s="249" t="s">
        <v>92</v>
      </c>
      <c r="C169" s="246"/>
      <c r="D169" s="246"/>
      <c r="E169" s="246"/>
      <c r="F169" s="246"/>
      <c r="G169" s="246"/>
      <c r="H169" s="247"/>
      <c r="I169" s="247"/>
      <c r="J169" s="247"/>
      <c r="K169" s="247">
        <v>41213</v>
      </c>
      <c r="L169" s="248"/>
      <c r="M169" s="248"/>
      <c r="N169" s="248"/>
      <c r="O169" s="6"/>
    </row>
    <row r="170" spans="1:15" ht="15.6" x14ac:dyDescent="0.3">
      <c r="A170" s="201"/>
      <c r="B170" s="202"/>
      <c r="C170" s="203"/>
      <c r="D170" s="203"/>
      <c r="E170" s="203"/>
      <c r="F170" s="203"/>
      <c r="G170" s="203"/>
      <c r="H170" s="204"/>
      <c r="I170" s="204"/>
      <c r="J170" s="204"/>
      <c r="K170" s="204"/>
      <c r="L170" s="167"/>
      <c r="M170" s="167"/>
      <c r="N170" s="167"/>
      <c r="O170" s="6"/>
    </row>
    <row r="171" spans="1:15" ht="15.6" x14ac:dyDescent="0.3">
      <c r="A171" s="301"/>
      <c r="B171" s="258" t="s">
        <v>93</v>
      </c>
      <c r="C171" s="302"/>
      <c r="D171" s="302"/>
      <c r="E171" s="302"/>
      <c r="F171" s="302"/>
      <c r="G171" s="302"/>
      <c r="H171" s="303"/>
      <c r="I171" s="303"/>
      <c r="J171" s="303"/>
      <c r="K171" s="304">
        <v>9.4600000000000004E-2</v>
      </c>
      <c r="L171" s="258"/>
      <c r="M171" s="258"/>
      <c r="N171" s="264"/>
      <c r="O171" s="6"/>
    </row>
    <row r="172" spans="1:15" ht="15.6" x14ac:dyDescent="0.3">
      <c r="A172" s="301"/>
      <c r="B172" s="258" t="s">
        <v>94</v>
      </c>
      <c r="C172" s="302"/>
      <c r="D172" s="302"/>
      <c r="E172" s="302"/>
      <c r="F172" s="302"/>
      <c r="G172" s="302"/>
      <c r="H172" s="303"/>
      <c r="I172" s="303"/>
      <c r="J172" s="303"/>
      <c r="K172" s="304">
        <v>5.2327499999999992E-2</v>
      </c>
      <c r="L172" s="258"/>
      <c r="M172" s="258"/>
      <c r="N172" s="264"/>
      <c r="O172" s="6"/>
    </row>
    <row r="173" spans="1:15" ht="15.6" x14ac:dyDescent="0.3">
      <c r="A173" s="301"/>
      <c r="B173" s="258" t="s">
        <v>95</v>
      </c>
      <c r="C173" s="302"/>
      <c r="D173" s="302"/>
      <c r="E173" s="302"/>
      <c r="F173" s="302"/>
      <c r="G173" s="302"/>
      <c r="H173" s="303"/>
      <c r="I173" s="303"/>
      <c r="J173" s="303"/>
      <c r="K173" s="304">
        <f>K171-K172</f>
        <v>4.2272500000000011E-2</v>
      </c>
      <c r="L173" s="258"/>
      <c r="M173" s="258"/>
      <c r="N173" s="264"/>
      <c r="O173" s="6"/>
    </row>
    <row r="174" spans="1:15" ht="15.6" x14ac:dyDescent="0.3">
      <c r="A174" s="301"/>
      <c r="B174" s="258" t="s">
        <v>96</v>
      </c>
      <c r="C174" s="302"/>
      <c r="D174" s="302"/>
      <c r="E174" s="302"/>
      <c r="F174" s="302"/>
      <c r="G174" s="302"/>
      <c r="H174" s="303"/>
      <c r="I174" s="303"/>
      <c r="J174" s="303"/>
      <c r="K174" s="304">
        <v>9.5699999999999993E-2</v>
      </c>
      <c r="L174" s="258"/>
      <c r="M174" s="258"/>
      <c r="N174" s="264"/>
      <c r="O174" s="6"/>
    </row>
    <row r="175" spans="1:15" ht="15.6" x14ac:dyDescent="0.3">
      <c r="A175" s="301"/>
      <c r="B175" s="258" t="s">
        <v>97</v>
      </c>
      <c r="C175" s="302"/>
      <c r="D175" s="302"/>
      <c r="E175" s="302"/>
      <c r="F175" s="302"/>
      <c r="G175" s="302"/>
      <c r="H175" s="303"/>
      <c r="I175" s="303"/>
      <c r="J175" s="303"/>
      <c r="K175" s="304">
        <f>M36</f>
        <v>1.7016758643022163E-2</v>
      </c>
      <c r="L175" s="258"/>
      <c r="M175" s="258"/>
      <c r="N175" s="264"/>
      <c r="O175" s="6"/>
    </row>
    <row r="176" spans="1:15" ht="15.6" x14ac:dyDescent="0.3">
      <c r="A176" s="301"/>
      <c r="B176" s="258" t="s">
        <v>98</v>
      </c>
      <c r="C176" s="302"/>
      <c r="D176" s="302"/>
      <c r="E176" s="302"/>
      <c r="F176" s="302"/>
      <c r="G176" s="302"/>
      <c r="H176" s="303"/>
      <c r="I176" s="303"/>
      <c r="J176" s="303"/>
      <c r="K176" s="304">
        <f>K174-K175</f>
        <v>7.8683241356977823E-2</v>
      </c>
      <c r="L176" s="258"/>
      <c r="M176" s="258"/>
      <c r="N176" s="264"/>
      <c r="O176" s="6"/>
    </row>
    <row r="177" spans="1:15" ht="15.6" x14ac:dyDescent="0.3">
      <c r="A177" s="301"/>
      <c r="B177" s="258" t="s">
        <v>211</v>
      </c>
      <c r="C177" s="302"/>
      <c r="D177" s="302"/>
      <c r="E177" s="302"/>
      <c r="F177" s="302"/>
      <c r="G177" s="302"/>
      <c r="H177" s="303"/>
      <c r="I177" s="303"/>
      <c r="J177" s="303"/>
      <c r="K177" s="304">
        <f>(+M87+M89)/E58</f>
        <v>2.5255007458375368E-2</v>
      </c>
      <c r="L177" s="258"/>
      <c r="M177" s="258"/>
      <c r="N177" s="264"/>
      <c r="O177" s="6"/>
    </row>
    <row r="178" spans="1:15" ht="15.6" x14ac:dyDescent="0.3">
      <c r="A178" s="301"/>
      <c r="B178" s="258" t="s">
        <v>99</v>
      </c>
      <c r="C178" s="302"/>
      <c r="D178" s="302"/>
      <c r="E178" s="302"/>
      <c r="F178" s="302"/>
      <c r="G178" s="302"/>
      <c r="H178" s="303"/>
      <c r="I178" s="303"/>
      <c r="J178" s="303"/>
      <c r="K178" s="305">
        <v>49628</v>
      </c>
      <c r="L178" s="258"/>
      <c r="M178" s="258"/>
      <c r="N178" s="264"/>
      <c r="O178" s="6"/>
    </row>
    <row r="179" spans="1:15" ht="15.6" x14ac:dyDescent="0.3">
      <c r="A179" s="301"/>
      <c r="B179" s="258" t="s">
        <v>100</v>
      </c>
      <c r="C179" s="302"/>
      <c r="D179" s="302"/>
      <c r="E179" s="302"/>
      <c r="F179" s="302"/>
      <c r="G179" s="302"/>
      <c r="H179" s="303"/>
      <c r="I179" s="303"/>
      <c r="J179" s="303"/>
      <c r="K179" s="305">
        <v>49628</v>
      </c>
      <c r="L179" s="258"/>
      <c r="M179" s="258"/>
      <c r="N179" s="264"/>
      <c r="O179" s="6"/>
    </row>
    <row r="180" spans="1:15" ht="15.6" x14ac:dyDescent="0.3">
      <c r="A180" s="301"/>
      <c r="B180" s="258" t="s">
        <v>165</v>
      </c>
      <c r="C180" s="302"/>
      <c r="D180" s="302"/>
      <c r="E180" s="302"/>
      <c r="F180" s="302"/>
      <c r="G180" s="302"/>
      <c r="H180" s="303"/>
      <c r="I180" s="303"/>
      <c r="J180" s="303"/>
      <c r="K180" s="305">
        <v>49628</v>
      </c>
      <c r="L180" s="258"/>
      <c r="M180" s="258"/>
      <c r="N180" s="264"/>
      <c r="O180" s="6"/>
    </row>
    <row r="181" spans="1:15" ht="15.6" x14ac:dyDescent="0.3">
      <c r="A181" s="301"/>
      <c r="B181" s="258" t="s">
        <v>101</v>
      </c>
      <c r="C181" s="302"/>
      <c r="D181" s="302"/>
      <c r="E181" s="302"/>
      <c r="F181" s="302"/>
      <c r="G181" s="302"/>
      <c r="H181" s="303"/>
      <c r="I181" s="303"/>
      <c r="J181" s="303"/>
      <c r="K181" s="306">
        <v>15.78</v>
      </c>
      <c r="L181" s="258" t="s">
        <v>139</v>
      </c>
      <c r="M181" s="258"/>
      <c r="N181" s="264"/>
      <c r="O181" s="6"/>
    </row>
    <row r="182" spans="1:15" ht="15.6" x14ac:dyDescent="0.3">
      <c r="A182" s="301"/>
      <c r="B182" s="258" t="s">
        <v>102</v>
      </c>
      <c r="C182" s="302"/>
      <c r="D182" s="302"/>
      <c r="E182" s="302"/>
      <c r="F182" s="302"/>
      <c r="G182" s="302"/>
      <c r="H182" s="303"/>
      <c r="I182" s="303"/>
      <c r="J182" s="303"/>
      <c r="K182" s="306">
        <v>12.65</v>
      </c>
      <c r="L182" s="258" t="s">
        <v>139</v>
      </c>
      <c r="M182" s="258"/>
      <c r="N182" s="264"/>
      <c r="O182" s="6"/>
    </row>
    <row r="183" spans="1:15" ht="15.6" x14ac:dyDescent="0.3">
      <c r="A183" s="301"/>
      <c r="B183" s="258" t="s">
        <v>103</v>
      </c>
      <c r="C183" s="302"/>
      <c r="D183" s="302"/>
      <c r="E183" s="302"/>
      <c r="F183" s="302"/>
      <c r="G183" s="302"/>
      <c r="H183" s="303"/>
      <c r="I183" s="303"/>
      <c r="J183" s="303"/>
      <c r="K183" s="304">
        <f>K80/E58</f>
        <v>3.501556343068022E-2</v>
      </c>
      <c r="L183" s="258"/>
      <c r="M183" s="258"/>
      <c r="N183" s="264"/>
      <c r="O183" s="6"/>
    </row>
    <row r="184" spans="1:15" ht="15.6" x14ac:dyDescent="0.3">
      <c r="A184" s="301"/>
      <c r="B184" s="258" t="s">
        <v>104</v>
      </c>
      <c r="C184" s="302"/>
      <c r="D184" s="302"/>
      <c r="E184" s="302"/>
      <c r="F184" s="302"/>
      <c r="G184" s="302"/>
      <c r="H184" s="303"/>
      <c r="I184" s="303"/>
      <c r="J184" s="303"/>
      <c r="K184" s="304">
        <v>0.25390000000000001</v>
      </c>
      <c r="L184" s="258"/>
      <c r="M184" s="258"/>
      <c r="N184" s="264"/>
      <c r="O184" s="6"/>
    </row>
    <row r="185" spans="1:15" ht="15.6" x14ac:dyDescent="0.3">
      <c r="A185" s="201"/>
      <c r="B185" s="251"/>
      <c r="C185" s="251"/>
      <c r="D185" s="251"/>
      <c r="E185" s="251"/>
      <c r="F185" s="251"/>
      <c r="G185" s="251"/>
      <c r="H185" s="251"/>
      <c r="I185" s="251"/>
      <c r="J185" s="251"/>
      <c r="K185" s="299"/>
      <c r="L185" s="251"/>
      <c r="M185" s="300"/>
      <c r="N185" s="251"/>
      <c r="O185" s="6"/>
    </row>
    <row r="186" spans="1:15" ht="15.6" x14ac:dyDescent="0.3">
      <c r="A186" s="243"/>
      <c r="B186" s="239" t="s">
        <v>105</v>
      </c>
      <c r="C186" s="240"/>
      <c r="D186" s="240"/>
      <c r="E186" s="241"/>
      <c r="F186" s="240"/>
      <c r="G186" s="241"/>
      <c r="H186" s="240"/>
      <c r="I186" s="241"/>
      <c r="J186" s="240" t="s">
        <v>128</v>
      </c>
      <c r="K186" s="241" t="s">
        <v>135</v>
      </c>
      <c r="L186" s="242"/>
      <c r="M186" s="242"/>
      <c r="N186" s="242"/>
      <c r="O186" s="6"/>
    </row>
    <row r="187" spans="1:15" ht="15.6" x14ac:dyDescent="0.3">
      <c r="A187" s="205"/>
      <c r="B187" s="217" t="s">
        <v>106</v>
      </c>
      <c r="C187" s="220"/>
      <c r="D187" s="220"/>
      <c r="E187" s="220"/>
      <c r="F187" s="220"/>
      <c r="G187" s="217"/>
      <c r="H187" s="217"/>
      <c r="I187" s="217"/>
      <c r="J187" s="368">
        <v>720</v>
      </c>
      <c r="K187" s="369">
        <v>17625</v>
      </c>
      <c r="L187" s="217"/>
      <c r="M187" s="229"/>
      <c r="N187" s="230"/>
      <c r="O187" s="6"/>
    </row>
    <row r="188" spans="1:15" ht="15.6" x14ac:dyDescent="0.3">
      <c r="A188" s="275"/>
      <c r="B188" s="258" t="s">
        <v>196</v>
      </c>
      <c r="C188" s="256"/>
      <c r="D188" s="256"/>
      <c r="E188" s="256"/>
      <c r="F188" s="256"/>
      <c r="G188" s="258"/>
      <c r="H188" s="258"/>
      <c r="I188" s="258"/>
      <c r="J188" s="276">
        <v>0</v>
      </c>
      <c r="K188" s="277">
        <v>0</v>
      </c>
      <c r="L188" s="258"/>
      <c r="M188" s="261"/>
      <c r="N188" s="263"/>
      <c r="O188" s="6"/>
    </row>
    <row r="189" spans="1:15" ht="15.6" x14ac:dyDescent="0.3">
      <c r="A189" s="275"/>
      <c r="B189" s="278" t="s">
        <v>107</v>
      </c>
      <c r="C189" s="279"/>
      <c r="D189" s="279"/>
      <c r="E189" s="279"/>
      <c r="F189" s="279"/>
      <c r="G189" s="280"/>
      <c r="H189" s="280"/>
      <c r="I189" s="280"/>
      <c r="J189" s="280"/>
      <c r="K189" s="277">
        <v>0</v>
      </c>
      <c r="L189" s="280"/>
      <c r="M189" s="281"/>
      <c r="N189" s="282"/>
      <c r="O189" s="6"/>
    </row>
    <row r="190" spans="1:15" ht="15.6" x14ac:dyDescent="0.3">
      <c r="A190" s="275"/>
      <c r="B190" s="278" t="s">
        <v>240</v>
      </c>
      <c r="C190" s="279"/>
      <c r="D190" s="279"/>
      <c r="E190" s="279"/>
      <c r="F190" s="279"/>
      <c r="G190" s="280"/>
      <c r="H190" s="280"/>
      <c r="I190" s="280"/>
      <c r="J190" s="280"/>
      <c r="K190" s="277">
        <f>+I58</f>
        <v>0</v>
      </c>
      <c r="L190" s="280"/>
      <c r="M190" s="281"/>
      <c r="N190" s="282"/>
      <c r="O190" s="6"/>
    </row>
    <row r="191" spans="1:15" ht="15.6" x14ac:dyDescent="0.3">
      <c r="A191" s="283"/>
      <c r="B191" s="278" t="s">
        <v>109</v>
      </c>
      <c r="C191" s="279"/>
      <c r="D191" s="279"/>
      <c r="E191" s="284"/>
      <c r="F191" s="284"/>
      <c r="G191" s="284"/>
      <c r="H191" s="280"/>
      <c r="I191" s="280"/>
      <c r="J191" s="280"/>
      <c r="K191" s="285"/>
      <c r="L191" s="280"/>
      <c r="M191" s="281"/>
      <c r="N191" s="286"/>
      <c r="O191" s="6"/>
    </row>
    <row r="192" spans="1:15" ht="15.6" x14ac:dyDescent="0.3">
      <c r="A192" s="283"/>
      <c r="B192" s="258" t="s">
        <v>110</v>
      </c>
      <c r="C192" s="256"/>
      <c r="D192" s="256"/>
      <c r="E192" s="258"/>
      <c r="F192" s="258"/>
      <c r="G192" s="258"/>
      <c r="H192" s="258"/>
      <c r="I192" s="258"/>
      <c r="J192" s="258"/>
      <c r="K192" s="277">
        <f>+M139</f>
        <v>1019</v>
      </c>
      <c r="L192" s="258"/>
      <c r="M192" s="281"/>
      <c r="N192" s="286"/>
      <c r="O192" s="6"/>
    </row>
    <row r="193" spans="1:15" ht="15.6" x14ac:dyDescent="0.3">
      <c r="A193" s="275"/>
      <c r="B193" s="258" t="s">
        <v>111</v>
      </c>
      <c r="C193" s="256"/>
      <c r="D193" s="256"/>
      <c r="E193" s="256"/>
      <c r="F193" s="256"/>
      <c r="G193" s="256"/>
      <c r="H193" s="258"/>
      <c r="I193" s="258"/>
      <c r="J193" s="258"/>
      <c r="K193" s="277">
        <f>'July 12'!K193+'Oct 12'!K192</f>
        <v>32137</v>
      </c>
      <c r="L193" s="258"/>
      <c r="M193" s="281"/>
      <c r="N193" s="286"/>
      <c r="O193" s="6"/>
    </row>
    <row r="194" spans="1:15" ht="15.6" x14ac:dyDescent="0.3">
      <c r="A194" s="275"/>
      <c r="B194" s="258" t="s">
        <v>112</v>
      </c>
      <c r="C194" s="256"/>
      <c r="D194" s="256"/>
      <c r="E194" s="256"/>
      <c r="F194" s="256"/>
      <c r="G194" s="256"/>
      <c r="H194" s="258"/>
      <c r="I194" s="258"/>
      <c r="J194" s="258"/>
      <c r="K194" s="277">
        <f>'July 12'!K194+421</f>
        <v>8817</v>
      </c>
      <c r="L194" s="258"/>
      <c r="M194" s="281"/>
      <c r="N194" s="286"/>
      <c r="O194" s="6"/>
    </row>
    <row r="195" spans="1:15" ht="15.6" x14ac:dyDescent="0.3">
      <c r="A195" s="283"/>
      <c r="B195" s="278" t="s">
        <v>241</v>
      </c>
      <c r="C195" s="279"/>
      <c r="D195" s="279"/>
      <c r="E195" s="284"/>
      <c r="F195" s="284"/>
      <c r="G195" s="284"/>
      <c r="H195" s="280"/>
      <c r="I195" s="280"/>
      <c r="J195" s="280"/>
      <c r="K195" s="285"/>
      <c r="L195" s="280"/>
      <c r="M195" s="281"/>
      <c r="N195" s="286"/>
      <c r="O195" s="6"/>
    </row>
    <row r="196" spans="1:15" ht="15.6" x14ac:dyDescent="0.3">
      <c r="A196" s="283"/>
      <c r="B196" s="258" t="s">
        <v>236</v>
      </c>
      <c r="C196" s="256"/>
      <c r="D196" s="256"/>
      <c r="E196" s="258"/>
      <c r="F196" s="258"/>
      <c r="G196" s="258"/>
      <c r="H196" s="258"/>
      <c r="I196" s="258"/>
      <c r="J196" s="258"/>
      <c r="K196" s="277">
        <v>2</v>
      </c>
      <c r="L196" s="258"/>
      <c r="M196" s="261"/>
      <c r="N196" s="286"/>
      <c r="O196" s="6"/>
    </row>
    <row r="197" spans="1:15" ht="15.6" x14ac:dyDescent="0.3">
      <c r="A197" s="275"/>
      <c r="B197" s="258" t="s">
        <v>113</v>
      </c>
      <c r="C197" s="256"/>
      <c r="D197" s="256"/>
      <c r="E197" s="290"/>
      <c r="F197" s="290"/>
      <c r="G197" s="291"/>
      <c r="H197" s="258"/>
      <c r="I197" s="258"/>
      <c r="J197" s="258"/>
      <c r="K197" s="292">
        <v>24.65</v>
      </c>
      <c r="L197" s="258"/>
      <c r="M197" s="261"/>
      <c r="N197" s="286"/>
      <c r="O197" s="6"/>
    </row>
    <row r="198" spans="1:15" ht="15.6" x14ac:dyDescent="0.3">
      <c r="A198" s="275"/>
      <c r="B198" s="258" t="s">
        <v>114</v>
      </c>
      <c r="C198" s="256"/>
      <c r="D198" s="256"/>
      <c r="E198" s="290"/>
      <c r="F198" s="290"/>
      <c r="G198" s="291"/>
      <c r="H198" s="258"/>
      <c r="I198" s="258"/>
      <c r="J198" s="258"/>
      <c r="K198" s="292">
        <v>6.2</v>
      </c>
      <c r="L198" s="258"/>
      <c r="M198" s="261"/>
      <c r="N198" s="286"/>
      <c r="O198" s="6"/>
    </row>
    <row r="199" spans="1:15" ht="15.6" x14ac:dyDescent="0.3">
      <c r="A199" s="275"/>
      <c r="B199" s="284"/>
      <c r="C199" s="279"/>
      <c r="D199" s="279"/>
      <c r="E199" s="293"/>
      <c r="F199" s="294"/>
      <c r="G199" s="295"/>
      <c r="H199" s="280"/>
      <c r="I199" s="280"/>
      <c r="J199" s="280"/>
      <c r="K199" s="296"/>
      <c r="L199" s="280"/>
      <c r="M199" s="281"/>
      <c r="N199" s="286"/>
      <c r="O199" s="6"/>
    </row>
    <row r="200" spans="1:15" ht="17.399999999999999" x14ac:dyDescent="0.3">
      <c r="A200" s="275"/>
      <c r="B200" s="297" t="s">
        <v>200</v>
      </c>
      <c r="C200" s="279"/>
      <c r="D200" s="279"/>
      <c r="E200" s="293"/>
      <c r="F200" s="294"/>
      <c r="G200" s="295"/>
      <c r="H200" s="280"/>
      <c r="I200" s="280"/>
      <c r="J200" s="280"/>
      <c r="K200" s="298" t="s">
        <v>199</v>
      </c>
      <c r="L200" s="280"/>
      <c r="M200" s="281"/>
      <c r="N200" s="286"/>
      <c r="O200" s="6"/>
    </row>
    <row r="201" spans="1:15" ht="15.6" x14ac:dyDescent="0.3">
      <c r="A201" s="265"/>
      <c r="B201" s="266"/>
      <c r="C201" s="267"/>
      <c r="D201" s="267"/>
      <c r="E201" s="268"/>
      <c r="F201" s="269"/>
      <c r="G201" s="270"/>
      <c r="H201" s="271"/>
      <c r="I201" s="271"/>
      <c r="J201" s="271"/>
      <c r="K201" s="272"/>
      <c r="L201" s="271"/>
      <c r="M201" s="273"/>
      <c r="N201" s="274"/>
      <c r="O201" s="6"/>
    </row>
    <row r="202" spans="1:15" ht="15.6" x14ac:dyDescent="0.3">
      <c r="A202" s="238"/>
      <c r="B202" s="239" t="s">
        <v>115</v>
      </c>
      <c r="C202" s="240"/>
      <c r="D202" s="240"/>
      <c r="E202" s="241"/>
      <c r="F202" s="240"/>
      <c r="G202" s="241"/>
      <c r="H202" s="240"/>
      <c r="I202" s="241" t="s">
        <v>128</v>
      </c>
      <c r="J202" s="240" t="s">
        <v>129</v>
      </c>
      <c r="K202" s="241" t="s">
        <v>137</v>
      </c>
      <c r="L202" s="240" t="s">
        <v>129</v>
      </c>
      <c r="M202" s="242"/>
      <c r="N202" s="239"/>
      <c r="O202" s="6"/>
    </row>
    <row r="203" spans="1:15" ht="15.6" x14ac:dyDescent="0.3">
      <c r="A203" s="224"/>
      <c r="B203" s="220" t="s">
        <v>116</v>
      </c>
      <c r="C203" s="231"/>
      <c r="D203" s="231"/>
      <c r="E203" s="220"/>
      <c r="F203" s="231"/>
      <c r="G203" s="217"/>
      <c r="H203" s="231"/>
      <c r="I203" s="220">
        <v>4330</v>
      </c>
      <c r="J203" s="232">
        <f>I203/I211</f>
        <v>0.85742574257425741</v>
      </c>
      <c r="K203" s="221">
        <v>93272</v>
      </c>
      <c r="L203" s="232">
        <f>K203/K211</f>
        <v>0.84106873946094118</v>
      </c>
      <c r="M203" s="228"/>
      <c r="N203" s="218"/>
      <c r="O203" s="6"/>
    </row>
    <row r="204" spans="1:15" ht="15.6" x14ac:dyDescent="0.3">
      <c r="A204" s="255"/>
      <c r="B204" s="256" t="s">
        <v>117</v>
      </c>
      <c r="C204" s="257"/>
      <c r="D204" s="257"/>
      <c r="E204" s="256"/>
      <c r="F204" s="257"/>
      <c r="G204" s="258"/>
      <c r="H204" s="259"/>
      <c r="I204" s="256">
        <v>159</v>
      </c>
      <c r="J204" s="259">
        <f>I204/I211</f>
        <v>3.1485148514851485E-2</v>
      </c>
      <c r="K204" s="260">
        <v>3641</v>
      </c>
      <c r="L204" s="259">
        <f>K204/K211</f>
        <v>3.2832267780012081E-2</v>
      </c>
      <c r="M204" s="261"/>
      <c r="N204" s="263"/>
      <c r="O204" s="6"/>
    </row>
    <row r="205" spans="1:15" ht="15.6" x14ac:dyDescent="0.3">
      <c r="A205" s="255"/>
      <c r="B205" s="256" t="s">
        <v>118</v>
      </c>
      <c r="C205" s="257"/>
      <c r="D205" s="257"/>
      <c r="E205" s="256"/>
      <c r="F205" s="257"/>
      <c r="G205" s="258"/>
      <c r="H205" s="259"/>
      <c r="I205" s="256">
        <v>123</v>
      </c>
      <c r="J205" s="259">
        <f>I205/I211</f>
        <v>2.4356435643564357E-2</v>
      </c>
      <c r="K205" s="260">
        <v>2997</v>
      </c>
      <c r="L205" s="259">
        <f>K205/K211</f>
        <v>2.7025077324003353E-2</v>
      </c>
      <c r="M205" s="261"/>
      <c r="N205" s="263"/>
      <c r="O205" s="6"/>
    </row>
    <row r="206" spans="1:15" ht="15.6" x14ac:dyDescent="0.3">
      <c r="A206" s="255"/>
      <c r="B206" s="256" t="s">
        <v>167</v>
      </c>
      <c r="C206" s="257"/>
      <c r="D206" s="257"/>
      <c r="E206" s="256"/>
      <c r="F206" s="257"/>
      <c r="G206" s="258"/>
      <c r="H206" s="259"/>
      <c r="I206" s="256">
        <v>95</v>
      </c>
      <c r="J206" s="259">
        <f>I206/I211</f>
        <v>1.8811881188118811E-2</v>
      </c>
      <c r="K206" s="260">
        <v>2385</v>
      </c>
      <c r="L206" s="259">
        <f>K206/K211</f>
        <v>2.1506442915498164E-2</v>
      </c>
      <c r="M206" s="261"/>
      <c r="N206" s="262"/>
      <c r="O206" s="6"/>
    </row>
    <row r="207" spans="1:15" ht="15.6" x14ac:dyDescent="0.3">
      <c r="A207" s="255"/>
      <c r="B207" s="256" t="s">
        <v>168</v>
      </c>
      <c r="C207" s="257"/>
      <c r="D207" s="257"/>
      <c r="E207" s="256"/>
      <c r="F207" s="257"/>
      <c r="G207" s="258"/>
      <c r="H207" s="259"/>
      <c r="I207" s="256">
        <v>67</v>
      </c>
      <c r="J207" s="259">
        <f>I207/I211</f>
        <v>1.3267326732673267E-2</v>
      </c>
      <c r="K207" s="260">
        <v>1494</v>
      </c>
      <c r="L207" s="259">
        <f>K207/K211</f>
        <v>1.3471960467821491E-2</v>
      </c>
      <c r="M207" s="374"/>
      <c r="N207" s="262"/>
      <c r="O207" s="6"/>
    </row>
    <row r="208" spans="1:15" ht="15.6" x14ac:dyDescent="0.3">
      <c r="A208" s="255"/>
      <c r="B208" s="256" t="s">
        <v>169</v>
      </c>
      <c r="C208" s="257"/>
      <c r="D208" s="257"/>
      <c r="E208" s="256"/>
      <c r="F208" s="257"/>
      <c r="G208" s="258"/>
      <c r="H208" s="259"/>
      <c r="I208" s="256">
        <v>43</v>
      </c>
      <c r="J208" s="259">
        <f>I208/I211</f>
        <v>8.5148514851485155E-3</v>
      </c>
      <c r="K208" s="260">
        <v>1149</v>
      </c>
      <c r="L208" s="259">
        <f>K208/K211</f>
        <v>1.0360965580673958E-2</v>
      </c>
      <c r="M208" s="374"/>
      <c r="N208" s="262"/>
      <c r="O208" s="6"/>
    </row>
    <row r="209" spans="1:15" ht="15.6" x14ac:dyDescent="0.3">
      <c r="A209" s="255"/>
      <c r="B209" s="256" t="s">
        <v>176</v>
      </c>
      <c r="C209" s="257"/>
      <c r="D209" s="257"/>
      <c r="E209" s="256"/>
      <c r="F209" s="257"/>
      <c r="G209" s="258"/>
      <c r="H209" s="259"/>
      <c r="I209" s="256">
        <v>150</v>
      </c>
      <c r="J209" s="259">
        <f>I209/I211</f>
        <v>2.9702970297029702E-2</v>
      </c>
      <c r="K209" s="260">
        <v>3985</v>
      </c>
      <c r="L209" s="259">
        <f>K209/K211</f>
        <v>3.5934245290675133E-2</v>
      </c>
      <c r="M209" s="261"/>
      <c r="N209" s="263"/>
      <c r="O209" s="6"/>
    </row>
    <row r="210" spans="1:15" ht="15.6" x14ac:dyDescent="0.3">
      <c r="A210" s="255"/>
      <c r="B210" s="256" t="s">
        <v>202</v>
      </c>
      <c r="C210" s="257"/>
      <c r="D210" s="257"/>
      <c r="E210" s="256"/>
      <c r="F210" s="257"/>
      <c r="G210" s="258"/>
      <c r="H210" s="259"/>
      <c r="I210" s="256">
        <v>83</v>
      </c>
      <c r="J210" s="259">
        <f>+I210/I211</f>
        <v>1.6435643564356436E-2</v>
      </c>
      <c r="K210" s="260">
        <v>1974</v>
      </c>
      <c r="L210" s="259">
        <f>+K210/K211</f>
        <v>1.7800301180374581E-2</v>
      </c>
      <c r="M210" s="261"/>
      <c r="N210" s="263"/>
      <c r="O210" s="6"/>
    </row>
    <row r="211" spans="1:15" ht="15.6" x14ac:dyDescent="0.3">
      <c r="A211" s="255"/>
      <c r="B211" s="258" t="s">
        <v>189</v>
      </c>
      <c r="C211" s="258"/>
      <c r="D211" s="258"/>
      <c r="E211" s="258"/>
      <c r="F211" s="258"/>
      <c r="G211" s="256"/>
      <c r="H211" s="258"/>
      <c r="I211" s="256">
        <f>SUM(I203:I210)</f>
        <v>5050</v>
      </c>
      <c r="J211" s="259">
        <f>SUM(J203:J210)</f>
        <v>1</v>
      </c>
      <c r="K211" s="260">
        <f>SUM(K203:K210)</f>
        <v>110897</v>
      </c>
      <c r="L211" s="259">
        <f>SUM(L203:L210)</f>
        <v>1</v>
      </c>
      <c r="M211" s="258"/>
      <c r="N211" s="264"/>
      <c r="O211" s="6"/>
    </row>
    <row r="212" spans="1:15" ht="15.6" x14ac:dyDescent="0.3">
      <c r="A212" s="255"/>
      <c r="B212" s="256" t="s">
        <v>170</v>
      </c>
      <c r="C212" s="257"/>
      <c r="D212" s="257"/>
      <c r="E212" s="256"/>
      <c r="F212" s="257"/>
      <c r="G212" s="256"/>
      <c r="H212" s="259"/>
      <c r="I212" s="256">
        <v>250</v>
      </c>
      <c r="J212" s="259"/>
      <c r="K212" s="260">
        <v>7333</v>
      </c>
      <c r="L212" s="259"/>
      <c r="M212" s="258"/>
      <c r="N212" s="264"/>
      <c r="O212" s="6"/>
    </row>
    <row r="213" spans="1:15" ht="15.6" x14ac:dyDescent="0.3">
      <c r="A213" s="255"/>
      <c r="B213" s="258"/>
      <c r="C213" s="258"/>
      <c r="D213" s="258"/>
      <c r="E213" s="258"/>
      <c r="F213" s="258"/>
      <c r="G213" s="258"/>
      <c r="H213" s="256"/>
      <c r="I213" s="256"/>
      <c r="J213" s="259"/>
      <c r="K213" s="260"/>
      <c r="L213" s="259"/>
      <c r="M213" s="258"/>
      <c r="N213" s="264"/>
      <c r="O213" s="6"/>
    </row>
    <row r="214" spans="1:15" ht="15.6" x14ac:dyDescent="0.3">
      <c r="A214" s="255"/>
      <c r="B214" s="258" t="s">
        <v>232</v>
      </c>
      <c r="C214" s="258"/>
      <c r="D214" s="258"/>
      <c r="E214" s="258"/>
      <c r="F214" s="258"/>
      <c r="G214" s="258"/>
      <c r="H214" s="258"/>
      <c r="I214" s="256"/>
      <c r="J214" s="259">
        <v>1.0331999999999999</v>
      </c>
      <c r="K214" s="260"/>
      <c r="L214" s="259"/>
      <c r="M214" s="258"/>
      <c r="N214" s="264"/>
      <c r="O214" s="6"/>
    </row>
    <row r="215" spans="1:15" ht="15.6" x14ac:dyDescent="0.3">
      <c r="A215" s="250"/>
      <c r="B215" s="251"/>
      <c r="C215" s="251"/>
      <c r="D215" s="251"/>
      <c r="E215" s="251"/>
      <c r="F215" s="251"/>
      <c r="G215" s="251"/>
      <c r="H215" s="251"/>
      <c r="I215" s="252"/>
      <c r="J215" s="253"/>
      <c r="K215" s="254"/>
      <c r="L215" s="253"/>
      <c r="M215" s="251"/>
      <c r="N215" s="251"/>
      <c r="O215" s="6"/>
    </row>
    <row r="216" spans="1:15" ht="15.6" x14ac:dyDescent="0.3">
      <c r="A216" s="233"/>
      <c r="B216" s="208" t="s">
        <v>215</v>
      </c>
      <c r="C216" s="209"/>
      <c r="D216" s="209"/>
      <c r="E216" s="209"/>
      <c r="F216" s="211" t="s">
        <v>216</v>
      </c>
      <c r="G216" s="209"/>
      <c r="H216" s="208" t="s">
        <v>217</v>
      </c>
      <c r="I216" s="234"/>
      <c r="J216" s="216"/>
      <c r="K216" s="234"/>
      <c r="L216" s="216"/>
      <c r="M216" s="216"/>
      <c r="N216" s="216"/>
      <c r="O216" s="6"/>
    </row>
    <row r="217" spans="1:15" ht="15.6" x14ac:dyDescent="0.3">
      <c r="A217" s="233"/>
      <c r="B217" s="216"/>
      <c r="C217" s="209"/>
      <c r="D217" s="209"/>
      <c r="E217" s="209"/>
      <c r="F217" s="209"/>
      <c r="G217" s="209"/>
      <c r="H217" s="209"/>
      <c r="I217" s="216"/>
      <c r="J217" s="216"/>
      <c r="K217" s="216"/>
      <c r="L217" s="216"/>
      <c r="M217" s="216"/>
      <c r="N217" s="216"/>
      <c r="O217" s="6"/>
    </row>
    <row r="218" spans="1:15" ht="15.6" x14ac:dyDescent="0.3">
      <c r="A218" s="233"/>
      <c r="B218" s="208" t="s">
        <v>218</v>
      </c>
      <c r="C218" s="208"/>
      <c r="D218" s="208"/>
      <c r="E218" s="208"/>
      <c r="F218" s="235" t="s">
        <v>219</v>
      </c>
      <c r="G218" s="208"/>
      <c r="H218" s="208" t="s">
        <v>220</v>
      </c>
      <c r="I218" s="216"/>
      <c r="J218" s="216"/>
      <c r="K218" s="216"/>
      <c r="L218" s="216"/>
      <c r="M218" s="216"/>
      <c r="N218" s="216"/>
      <c r="O218" s="6"/>
    </row>
    <row r="219" spans="1:15" ht="15.6" x14ac:dyDescent="0.3">
      <c r="A219" s="233"/>
      <c r="B219" s="208" t="s">
        <v>221</v>
      </c>
      <c r="C219" s="208"/>
      <c r="D219" s="208"/>
      <c r="E219" s="208"/>
      <c r="F219" s="235" t="s">
        <v>222</v>
      </c>
      <c r="G219" s="208"/>
      <c r="H219" s="208" t="s">
        <v>223</v>
      </c>
      <c r="I219" s="216"/>
      <c r="J219" s="216"/>
      <c r="K219" s="216"/>
      <c r="L219" s="216"/>
      <c r="M219" s="216"/>
      <c r="N219" s="216"/>
      <c r="O219" s="6"/>
    </row>
    <row r="220" spans="1:15" ht="15.6" x14ac:dyDescent="0.3">
      <c r="A220" s="233"/>
      <c r="B220" s="208" t="s">
        <v>224</v>
      </c>
      <c r="C220" s="208"/>
      <c r="D220" s="208"/>
      <c r="E220" s="208"/>
      <c r="F220" s="235" t="s">
        <v>225</v>
      </c>
      <c r="G220" s="208"/>
      <c r="H220" s="208" t="s">
        <v>226</v>
      </c>
      <c r="I220" s="216"/>
      <c r="J220" s="216"/>
      <c r="K220" s="216"/>
      <c r="L220" s="216"/>
      <c r="M220" s="216"/>
      <c r="N220" s="216"/>
      <c r="O220" s="6"/>
    </row>
    <row r="221" spans="1:15" ht="15.6" x14ac:dyDescent="0.3">
      <c r="A221" s="233"/>
      <c r="B221" s="208"/>
      <c r="C221" s="236"/>
      <c r="D221" s="236"/>
      <c r="E221" s="211"/>
      <c r="F221" s="208"/>
      <c r="G221" s="208"/>
      <c r="H221" s="236"/>
      <c r="I221" s="236"/>
      <c r="J221" s="216"/>
      <c r="K221" s="216"/>
      <c r="L221" s="216"/>
      <c r="M221" s="216"/>
      <c r="N221" s="216"/>
      <c r="O221" s="6"/>
    </row>
    <row r="222" spans="1:15" ht="18" thickBot="1" x14ac:dyDescent="0.35">
      <c r="A222" s="233"/>
      <c r="B222" s="237" t="str">
        <f>B168</f>
        <v>PSF1 INVESTOR REPORT QUARTER ENDING OCTOBER 2012</v>
      </c>
      <c r="C222" s="236"/>
      <c r="D222" s="236"/>
      <c r="E222" s="211"/>
      <c r="F222" s="208"/>
      <c r="G222" s="208"/>
      <c r="H222" s="236"/>
      <c r="I222" s="236"/>
      <c r="J222" s="216"/>
      <c r="K222" s="216"/>
      <c r="L222" s="216"/>
      <c r="M222" s="216"/>
      <c r="N222" s="216"/>
      <c r="O222" s="6"/>
    </row>
    <row r="223" spans="1:15" x14ac:dyDescent="0.25">
      <c r="A223" s="108"/>
      <c r="B223" s="108"/>
      <c r="C223" s="108"/>
      <c r="D223" s="108"/>
      <c r="E223" s="108"/>
      <c r="F223" s="108"/>
      <c r="G223" s="108"/>
      <c r="H223" s="108"/>
      <c r="I223" s="108"/>
      <c r="J223" s="108"/>
      <c r="K223" s="108"/>
      <c r="L223" s="108"/>
      <c r="M223" s="108"/>
      <c r="N223" s="108"/>
    </row>
    <row r="225" spans="9:9" x14ac:dyDescent="0.25">
      <c r="I225" s="117"/>
    </row>
  </sheetData>
  <hyperlinks>
    <hyperlink ref="I10" r:id="rId1" xr:uid="{00000000-0004-0000-1E00-000000000000}"/>
    <hyperlink ref="K200" r:id="rId2" xr:uid="{00000000-0004-0000-1E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68" max="14"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2D2926"/>
  </sheetPr>
  <dimension ref="A1:P227"/>
  <sheetViews>
    <sheetView showOutlineSymbols="0" zoomScale="70" zoomScaleNormal="70" workbookViewId="0">
      <selection activeCell="C47" activeCellId="1" sqref="A1 C47"/>
    </sheetView>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41327</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59773.56</v>
      </c>
      <c r="D31" s="345"/>
      <c r="E31" s="344">
        <f>E30*E34</f>
        <v>31118.707199999997</v>
      </c>
      <c r="F31" s="344"/>
      <c r="G31" s="344">
        <f>G30*G34</f>
        <v>20004.8832</v>
      </c>
      <c r="H31" s="346"/>
      <c r="I31" s="346"/>
      <c r="J31" s="346"/>
      <c r="K31" s="346"/>
      <c r="L31" s="347"/>
      <c r="M31" s="344">
        <f>C31+E31+G31</f>
        <v>110897.1504</v>
      </c>
      <c r="N31" s="348"/>
      <c r="O31" s="6"/>
    </row>
    <row r="32" spans="1:15" ht="15.6" x14ac:dyDescent="0.3">
      <c r="A32" s="340"/>
      <c r="B32" s="319" t="s">
        <v>16</v>
      </c>
      <c r="C32" s="349">
        <f>C30*C33</f>
        <v>55328.427000000003</v>
      </c>
      <c r="D32" s="350"/>
      <c r="E32" s="349">
        <f>E30*E33</f>
        <v>31118.707199999997</v>
      </c>
      <c r="F32" s="349"/>
      <c r="G32" s="349">
        <f>G30*G33</f>
        <v>20004.8832</v>
      </c>
      <c r="H32" s="351"/>
      <c r="I32" s="351"/>
      <c r="J32" s="351"/>
      <c r="K32" s="351"/>
      <c r="L32" s="352"/>
      <c r="M32" s="344">
        <f>C32+E32+G32</f>
        <v>106452.0174</v>
      </c>
      <c r="N32" s="348"/>
      <c r="O32" s="6"/>
    </row>
    <row r="33" spans="1:15" ht="15.6" x14ac:dyDescent="0.3">
      <c r="A33" s="340"/>
      <c r="B33" s="278" t="s">
        <v>174</v>
      </c>
      <c r="C33" s="371">
        <v>0.23951700000000001</v>
      </c>
      <c r="D33" s="372"/>
      <c r="E33" s="371">
        <v>0.74092159999999996</v>
      </c>
      <c r="F33" s="371"/>
      <c r="G33" s="371">
        <v>0.74092159999999996</v>
      </c>
      <c r="H33" s="373"/>
      <c r="I33" s="373"/>
      <c r="J33" s="351"/>
      <c r="K33" s="351"/>
      <c r="L33" s="352"/>
      <c r="M33" s="351"/>
      <c r="N33" s="348"/>
      <c r="O33" s="6"/>
    </row>
    <row r="34" spans="1:15" ht="15.6" x14ac:dyDescent="0.3">
      <c r="A34" s="340"/>
      <c r="B34" s="278" t="s">
        <v>175</v>
      </c>
      <c r="C34" s="371">
        <v>0.25875999999999999</v>
      </c>
      <c r="D34" s="372"/>
      <c r="E34" s="371">
        <v>0.74092159999999996</v>
      </c>
      <c r="F34" s="371"/>
      <c r="G34" s="371">
        <v>0.74092159999999996</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9.2312999999999996E-3</v>
      </c>
      <c r="D36" s="258"/>
      <c r="E36" s="356">
        <v>2.0231300000000001E-2</v>
      </c>
      <c r="F36" s="304"/>
      <c r="G36" s="356">
        <v>2.5231300000000002E-2</v>
      </c>
      <c r="H36" s="304"/>
      <c r="I36" s="356"/>
      <c r="J36" s="304"/>
      <c r="K36" s="356"/>
      <c r="L36" s="321"/>
      <c r="M36" s="304">
        <f>SUMPRODUCT(C36:G36,C31:G31)/M31</f>
        <v>1.5204256996738124E-2</v>
      </c>
      <c r="N36" s="264"/>
      <c r="O36" s="6"/>
    </row>
    <row r="37" spans="1:15" ht="15.6" x14ac:dyDescent="0.3">
      <c r="A37" s="307"/>
      <c r="B37" s="258" t="s">
        <v>19</v>
      </c>
      <c r="C37" s="356">
        <v>1.1043799999999999E-2</v>
      </c>
      <c r="D37" s="258"/>
      <c r="E37" s="356">
        <v>2.2043799999999999E-2</v>
      </c>
      <c r="F37" s="304"/>
      <c r="G37" s="356">
        <v>2.70438E-2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0.92400223848764029</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41320</v>
      </c>
      <c r="N47" s="264"/>
      <c r="O47" s="6"/>
    </row>
    <row r="48" spans="1:15" ht="15.6" x14ac:dyDescent="0.3">
      <c r="A48" s="307"/>
      <c r="B48" s="258" t="s">
        <v>26</v>
      </c>
      <c r="C48" s="258"/>
      <c r="D48" s="258"/>
      <c r="E48" s="258"/>
      <c r="F48" s="258"/>
      <c r="G48" s="258"/>
      <c r="H48" s="258"/>
      <c r="I48" s="258"/>
      <c r="J48" s="258">
        <f>M48-K48+1</f>
        <v>92</v>
      </c>
      <c r="K48" s="360">
        <v>41136</v>
      </c>
      <c r="L48" s="361"/>
      <c r="M48" s="360">
        <v>41227</v>
      </c>
      <c r="N48" s="264"/>
      <c r="O48" s="6"/>
    </row>
    <row r="49" spans="1:15" ht="15.6" x14ac:dyDescent="0.3">
      <c r="A49" s="307"/>
      <c r="B49" s="258" t="s">
        <v>27</v>
      </c>
      <c r="C49" s="258"/>
      <c r="D49" s="258"/>
      <c r="E49" s="258"/>
      <c r="F49" s="258"/>
      <c r="G49" s="258"/>
      <c r="H49" s="258"/>
      <c r="I49" s="258"/>
      <c r="J49" s="258">
        <f>M49-K49+1</f>
        <v>92</v>
      </c>
      <c r="K49" s="360">
        <v>41228</v>
      </c>
      <c r="L49" s="361"/>
      <c r="M49" s="360">
        <v>41319</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41306</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257</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110897</v>
      </c>
      <c r="F58" s="256"/>
      <c r="G58" s="256">
        <f>3737+708</f>
        <v>4445</v>
      </c>
      <c r="H58" s="256"/>
      <c r="I58" s="256">
        <v>0</v>
      </c>
      <c r="J58" s="256"/>
      <c r="K58" s="256">
        <v>0</v>
      </c>
      <c r="L58" s="256"/>
      <c r="M58" s="260">
        <f>E58-G58+I58-K58</f>
        <v>106452</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110897</v>
      </c>
      <c r="F62" s="256"/>
      <c r="G62" s="256">
        <f>SUM(G58:G61)</f>
        <v>4445</v>
      </c>
      <c r="H62" s="256"/>
      <c r="I62" s="256">
        <f>SUM(I58:I61)</f>
        <v>0</v>
      </c>
      <c r="J62" s="256"/>
      <c r="K62" s="256">
        <f>SUM(K58:K61)</f>
        <v>0</v>
      </c>
      <c r="L62" s="256"/>
      <c r="M62" s="256">
        <f>SUM(M58:M61)</f>
        <v>106452</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110897</v>
      </c>
      <c r="F75" s="256"/>
      <c r="G75" s="256"/>
      <c r="H75" s="256"/>
      <c r="I75" s="256"/>
      <c r="J75" s="256"/>
      <c r="K75" s="256"/>
      <c r="L75" s="256"/>
      <c r="M75" s="256">
        <f>SUM(M62:M74)</f>
        <v>106452</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41305</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4445-707</f>
        <v>3738</v>
      </c>
      <c r="L80" s="258"/>
      <c r="M80" s="260"/>
      <c r="N80" s="264"/>
      <c r="O80" s="6"/>
    </row>
    <row r="81" spans="1:16" ht="15.6" x14ac:dyDescent="0.3">
      <c r="A81" s="307"/>
      <c r="B81" s="258" t="s">
        <v>204</v>
      </c>
      <c r="C81" s="290"/>
      <c r="D81" s="325"/>
      <c r="E81" s="326"/>
      <c r="F81" s="258"/>
      <c r="G81" s="258"/>
      <c r="H81" s="258"/>
      <c r="I81" s="258"/>
      <c r="J81" s="258"/>
      <c r="K81" s="256"/>
      <c r="L81" s="258"/>
      <c r="M81" s="260">
        <f>4790+49-2175</f>
        <v>2664</v>
      </c>
      <c r="N81" s="264"/>
      <c r="O81" s="6"/>
    </row>
    <row r="82" spans="1:16" ht="15.6" x14ac:dyDescent="0.3">
      <c r="A82" s="307"/>
      <c r="B82" s="258" t="s">
        <v>205</v>
      </c>
      <c r="C82" s="290"/>
      <c r="D82" s="325"/>
      <c r="E82" s="326"/>
      <c r="F82" s="258"/>
      <c r="G82" s="258"/>
      <c r="H82" s="258"/>
      <c r="I82" s="258"/>
      <c r="J82" s="258"/>
      <c r="K82" s="256"/>
      <c r="L82" s="258"/>
      <c r="M82" s="260">
        <v>147</v>
      </c>
      <c r="N82" s="264"/>
      <c r="O82" s="6"/>
    </row>
    <row r="83" spans="1:16" ht="15.6" x14ac:dyDescent="0.3">
      <c r="A83" s="307"/>
      <c r="B83" s="258" t="s">
        <v>206</v>
      </c>
      <c r="C83" s="290"/>
      <c r="D83" s="325"/>
      <c r="E83" s="326"/>
      <c r="F83" s="258"/>
      <c r="G83" s="258"/>
      <c r="H83" s="258"/>
      <c r="I83" s="258"/>
      <c r="J83" s="258"/>
      <c r="K83" s="256"/>
      <c r="L83" s="258"/>
      <c r="M83" s="260">
        <v>8</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3738</v>
      </c>
      <c r="L85" s="258"/>
      <c r="M85" s="256">
        <f>SUM(M79:M84)</f>
        <v>2819</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3738</v>
      </c>
      <c r="L87" s="258"/>
      <c r="M87" s="256">
        <f>M85+M86</f>
        <v>2819</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-42-64-1</f>
        <v>-107</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-139</v>
      </c>
      <c r="N93" s="311"/>
      <c r="O93" s="6"/>
    </row>
    <row r="94" spans="1:16" ht="15.6" x14ac:dyDescent="0.3">
      <c r="A94" s="255">
        <v>5</v>
      </c>
      <c r="B94" s="258" t="s">
        <v>52</v>
      </c>
      <c r="C94" s="258"/>
      <c r="D94" s="258"/>
      <c r="E94" s="258"/>
      <c r="F94" s="258"/>
      <c r="G94" s="258"/>
      <c r="H94" s="258"/>
      <c r="I94" s="258"/>
      <c r="J94" s="258"/>
      <c r="K94" s="258"/>
      <c r="L94" s="258"/>
      <c r="M94" s="260">
        <v>-159</v>
      </c>
      <c r="N94" s="311"/>
      <c r="O94" s="6"/>
    </row>
    <row r="95" spans="1:16" ht="15.6" x14ac:dyDescent="0.3">
      <c r="A95" s="255">
        <v>6</v>
      </c>
      <c r="B95" s="258" t="s">
        <v>172</v>
      </c>
      <c r="C95" s="258"/>
      <c r="D95" s="258"/>
      <c r="E95" s="258"/>
      <c r="F95" s="258"/>
      <c r="G95" s="258"/>
      <c r="H95" s="258"/>
      <c r="I95" s="258"/>
      <c r="J95" s="258"/>
      <c r="K95" s="258"/>
      <c r="L95" s="258"/>
      <c r="M95" s="260">
        <v>-127</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707</v>
      </c>
      <c r="L97" s="258"/>
      <c r="M97" s="260">
        <v>-707</v>
      </c>
      <c r="N97" s="311"/>
      <c r="O97" s="6"/>
    </row>
    <row r="98" spans="1:16" ht="15.6" x14ac:dyDescent="0.3">
      <c r="A98" s="255">
        <v>9</v>
      </c>
      <c r="B98" s="258" t="s">
        <v>193</v>
      </c>
      <c r="C98" s="258"/>
      <c r="D98" s="258"/>
      <c r="E98" s="258"/>
      <c r="F98" s="258"/>
      <c r="G98" s="258"/>
      <c r="H98" s="258"/>
      <c r="I98" s="258"/>
      <c r="J98" s="258"/>
      <c r="K98" s="258"/>
      <c r="L98" s="258"/>
      <c r="M98" s="260">
        <v>-1571</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0</v>
      </c>
      <c r="N101" s="311"/>
      <c r="O101" s="6"/>
    </row>
    <row r="102" spans="1:16" ht="15.6" x14ac:dyDescent="0.3">
      <c r="A102" s="255">
        <v>13</v>
      </c>
      <c r="B102" s="258" t="s">
        <v>195</v>
      </c>
      <c r="C102" s="258"/>
      <c r="D102" s="258"/>
      <c r="E102" s="258"/>
      <c r="F102" s="258"/>
      <c r="G102" s="258"/>
      <c r="H102" s="258"/>
      <c r="I102" s="258"/>
      <c r="J102" s="258"/>
      <c r="K102" s="258"/>
      <c r="L102" s="258"/>
      <c r="M102" s="260">
        <f>-M87-SUM(M89:M101)</f>
        <v>0</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-4445</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+K105+K106+K107+K108+K109</f>
        <v>-4445</v>
      </c>
      <c r="L110" s="256"/>
      <c r="M110" s="256">
        <f>SUM(M88:M109)</f>
        <v>-2819</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JANUARY 2013</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13500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1571</v>
      </c>
      <c r="N127" s="264"/>
      <c r="O127" s="6"/>
    </row>
    <row r="128" spans="1:15" ht="15.6" x14ac:dyDescent="0.3">
      <c r="A128" s="307"/>
      <c r="B128" s="258" t="s">
        <v>258</v>
      </c>
      <c r="C128" s="258"/>
      <c r="D128" s="258"/>
      <c r="E128" s="258"/>
      <c r="F128" s="258"/>
      <c r="G128" s="258"/>
      <c r="H128" s="258"/>
      <c r="I128" s="258"/>
      <c r="J128" s="258"/>
      <c r="K128" s="258"/>
      <c r="L128" s="258"/>
      <c r="M128" s="260">
        <v>829</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287</v>
      </c>
      <c r="N139" s="264"/>
      <c r="O139" s="6"/>
    </row>
    <row r="140" spans="1:15" ht="15.6" x14ac:dyDescent="0.3">
      <c r="A140" s="307"/>
      <c r="B140" s="258" t="s">
        <v>180</v>
      </c>
      <c r="C140" s="258"/>
      <c r="D140" s="258"/>
      <c r="E140" s="258"/>
      <c r="F140" s="258"/>
      <c r="G140" s="258"/>
      <c r="H140" s="258"/>
      <c r="I140" s="258"/>
      <c r="J140" s="258"/>
      <c r="K140" s="258"/>
      <c r="L140" s="258"/>
      <c r="M140" s="260">
        <f>461-41</f>
        <v>420</v>
      </c>
      <c r="N140" s="264"/>
      <c r="O140" s="6"/>
    </row>
    <row r="141" spans="1:15" ht="15.6" x14ac:dyDescent="0.3">
      <c r="A141" s="307"/>
      <c r="B141" s="258" t="s">
        <v>77</v>
      </c>
      <c r="C141" s="258"/>
      <c r="D141" s="258"/>
      <c r="E141" s="258"/>
      <c r="F141" s="258"/>
      <c r="G141" s="258"/>
      <c r="H141" s="258"/>
      <c r="I141" s="258"/>
      <c r="J141" s="258"/>
      <c r="K141" s="258"/>
      <c r="L141" s="258"/>
      <c r="M141" s="260">
        <f>M139+M138+M140</f>
        <v>707</v>
      </c>
      <c r="N141" s="264"/>
      <c r="O141" s="6"/>
    </row>
    <row r="142" spans="1:15" ht="15.6" x14ac:dyDescent="0.3">
      <c r="A142" s="307"/>
      <c r="B142" s="258" t="s">
        <v>183</v>
      </c>
      <c r="C142" s="258"/>
      <c r="D142" s="258"/>
      <c r="E142" s="258"/>
      <c r="F142" s="258"/>
      <c r="G142" s="258"/>
      <c r="H142" s="258"/>
      <c r="I142" s="303"/>
      <c r="J142" s="258"/>
      <c r="K142" s="258"/>
      <c r="L142" s="258"/>
      <c r="M142" s="260">
        <f>M97</f>
        <v>-707</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106452</v>
      </c>
      <c r="N148" s="318"/>
      <c r="O148" s="6"/>
      <c r="P148" s="117"/>
    </row>
    <row r="149" spans="1:16" ht="15.6" x14ac:dyDescent="0.3">
      <c r="A149" s="307"/>
      <c r="B149" s="258" t="s">
        <v>80</v>
      </c>
      <c r="C149" s="319"/>
      <c r="D149" s="319"/>
      <c r="E149" s="258"/>
      <c r="F149" s="258"/>
      <c r="G149" s="258"/>
      <c r="H149" s="258"/>
      <c r="I149" s="258"/>
      <c r="J149" s="258"/>
      <c r="K149" s="258"/>
      <c r="L149" s="258"/>
      <c r="M149" s="260">
        <f>M75</f>
        <v>106452</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+'Oct 12'!I154</f>
        <v>7636</v>
      </c>
      <c r="J154" s="258"/>
      <c r="K154" s="260">
        <f>+'Oct 12'!K154</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19.496402877697843</v>
      </c>
      <c r="N161" s="264" t="s">
        <v>145</v>
      </c>
      <c r="O161" s="6"/>
    </row>
    <row r="162" spans="1:15" ht="15.6" x14ac:dyDescent="0.3">
      <c r="A162" s="307"/>
      <c r="B162" s="258" t="s">
        <v>89</v>
      </c>
      <c r="C162" s="258"/>
      <c r="D162" s="258"/>
      <c r="E162" s="258"/>
      <c r="F162" s="258"/>
      <c r="G162" s="258"/>
      <c r="H162" s="258"/>
      <c r="I162" s="258"/>
      <c r="J162" s="258"/>
      <c r="K162" s="258"/>
      <c r="L162" s="258"/>
      <c r="M162" s="309">
        <v>3.36</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16.169811320754718</v>
      </c>
      <c r="N163" s="264" t="s">
        <v>145</v>
      </c>
      <c r="O163" s="6"/>
    </row>
    <row r="164" spans="1:15" ht="15.6" x14ac:dyDescent="0.3">
      <c r="A164" s="307"/>
      <c r="B164" s="258" t="s">
        <v>91</v>
      </c>
      <c r="C164" s="258"/>
      <c r="D164" s="258"/>
      <c r="E164" s="258"/>
      <c r="F164" s="258"/>
      <c r="G164" s="258"/>
      <c r="H164" s="258"/>
      <c r="I164" s="258"/>
      <c r="J164" s="258"/>
      <c r="K164" s="258"/>
      <c r="L164" s="258"/>
      <c r="M164" s="310">
        <v>9.44</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18.992125984251967</v>
      </c>
      <c r="N165" s="264" t="s">
        <v>145</v>
      </c>
      <c r="O165" s="6"/>
    </row>
    <row r="166" spans="1:15" ht="15.6" x14ac:dyDescent="0.3">
      <c r="A166" s="307"/>
      <c r="B166" s="258" t="s">
        <v>182</v>
      </c>
      <c r="C166" s="258"/>
      <c r="D166" s="258"/>
      <c r="E166" s="258"/>
      <c r="F166" s="258"/>
      <c r="G166" s="258"/>
      <c r="H166" s="258"/>
      <c r="I166" s="258"/>
      <c r="J166" s="258"/>
      <c r="K166" s="258"/>
      <c r="L166" s="258"/>
      <c r="M166" s="310">
        <v>12.14</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JANUARY 2013</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41305</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9.5600000000000004E-2</v>
      </c>
      <c r="L176" s="258"/>
      <c r="M176" s="258"/>
      <c r="N176" s="264"/>
      <c r="O176" s="6"/>
    </row>
    <row r="177" spans="1:15" ht="15.6" x14ac:dyDescent="0.3">
      <c r="A177" s="301"/>
      <c r="B177" s="258" t="s">
        <v>97</v>
      </c>
      <c r="C177" s="302"/>
      <c r="D177" s="302"/>
      <c r="E177" s="302"/>
      <c r="F177" s="302"/>
      <c r="G177" s="302"/>
      <c r="H177" s="303"/>
      <c r="I177" s="303"/>
      <c r="J177" s="303"/>
      <c r="K177" s="304">
        <f>M36</f>
        <v>1.5204256996738124E-2</v>
      </c>
      <c r="L177" s="258"/>
      <c r="M177" s="258"/>
      <c r="N177" s="264"/>
      <c r="O177" s="6"/>
    </row>
    <row r="178" spans="1:15" ht="15.6" x14ac:dyDescent="0.3">
      <c r="A178" s="301"/>
      <c r="B178" s="258" t="s">
        <v>98</v>
      </c>
      <c r="C178" s="302"/>
      <c r="D178" s="302"/>
      <c r="E178" s="302"/>
      <c r="F178" s="302"/>
      <c r="G178" s="302"/>
      <c r="H178" s="303"/>
      <c r="I178" s="303"/>
      <c r="J178" s="303"/>
      <c r="K178" s="304">
        <f>K176-K177</f>
        <v>8.0395743003261882E-2</v>
      </c>
      <c r="L178" s="258"/>
      <c r="M178" s="258"/>
      <c r="N178" s="264"/>
      <c r="O178" s="6"/>
    </row>
    <row r="179" spans="1:15" ht="15.6" x14ac:dyDescent="0.3">
      <c r="A179" s="301"/>
      <c r="B179" s="258" t="s">
        <v>211</v>
      </c>
      <c r="C179" s="302"/>
      <c r="D179" s="302"/>
      <c r="E179" s="302"/>
      <c r="F179" s="302"/>
      <c r="G179" s="302"/>
      <c r="H179" s="303"/>
      <c r="I179" s="303"/>
      <c r="J179" s="303"/>
      <c r="K179" s="304">
        <f>(+M87+M89)/E58</f>
        <v>2.5419984309764918E-2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12.52</v>
      </c>
      <c r="L184" s="258" t="s">
        <v>139</v>
      </c>
      <c r="M184" s="258"/>
      <c r="N184" s="264"/>
      <c r="O184" s="6"/>
    </row>
    <row r="185" spans="1:15" ht="15.6" x14ac:dyDescent="0.3">
      <c r="A185" s="301"/>
      <c r="B185" s="258" t="s">
        <v>103</v>
      </c>
      <c r="C185" s="302"/>
      <c r="D185" s="302"/>
      <c r="E185" s="302"/>
      <c r="F185" s="302"/>
      <c r="G185" s="302"/>
      <c r="H185" s="303"/>
      <c r="I185" s="303"/>
      <c r="J185" s="303"/>
      <c r="K185" s="304">
        <f>K80/E58</f>
        <v>3.3706953299007185E-2</v>
      </c>
      <c r="L185" s="258"/>
      <c r="M185" s="258"/>
      <c r="N185" s="264"/>
      <c r="O185" s="6"/>
    </row>
    <row r="186" spans="1:15" ht="15.6" x14ac:dyDescent="0.3">
      <c r="A186" s="301"/>
      <c r="B186" s="258" t="s">
        <v>104</v>
      </c>
      <c r="C186" s="302"/>
      <c r="D186" s="302"/>
      <c r="E186" s="302"/>
      <c r="F186" s="302"/>
      <c r="G186" s="302"/>
      <c r="H186" s="303"/>
      <c r="I186" s="303"/>
      <c r="J186" s="303"/>
      <c r="K186" s="304">
        <v>0.25030000000000002</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748</v>
      </c>
      <c r="K189" s="369">
        <v>18045</v>
      </c>
      <c r="L189" s="217"/>
      <c r="M189" s="229"/>
      <c r="N189" s="230"/>
      <c r="O189" s="6"/>
    </row>
    <row r="190" spans="1:15" ht="15.6" x14ac:dyDescent="0.3">
      <c r="A190" s="275"/>
      <c r="B190" s="258" t="s">
        <v>196</v>
      </c>
      <c r="C190" s="256"/>
      <c r="D190" s="256"/>
      <c r="E190" s="256"/>
      <c r="F190" s="256"/>
      <c r="G190" s="258"/>
      <c r="H190" s="258"/>
      <c r="I190" s="258"/>
      <c r="J190" s="276">
        <v>1</v>
      </c>
      <c r="K190" s="277">
        <v>24</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707</v>
      </c>
      <c r="L194" s="258"/>
      <c r="M194" s="281"/>
      <c r="N194" s="286"/>
      <c r="O194" s="6"/>
    </row>
    <row r="195" spans="1:15" ht="15.6" x14ac:dyDescent="0.3">
      <c r="A195" s="275"/>
      <c r="B195" s="258" t="s">
        <v>111</v>
      </c>
      <c r="C195" s="256"/>
      <c r="D195" s="256"/>
      <c r="E195" s="256"/>
      <c r="F195" s="256"/>
      <c r="G195" s="256"/>
      <c r="H195" s="258"/>
      <c r="I195" s="258"/>
      <c r="J195" s="258"/>
      <c r="K195" s="375">
        <f>'Oct 12'!K193+'Jan 13'!K194</f>
        <v>32844</v>
      </c>
      <c r="L195" s="258"/>
      <c r="M195" s="281"/>
      <c r="N195" s="286"/>
      <c r="O195" s="6"/>
    </row>
    <row r="196" spans="1:15" ht="15.6" x14ac:dyDescent="0.3">
      <c r="A196" s="275"/>
      <c r="B196" s="258" t="s">
        <v>112</v>
      </c>
      <c r="C196" s="256"/>
      <c r="D196" s="256"/>
      <c r="E196" s="256"/>
      <c r="F196" s="256"/>
      <c r="G196" s="256"/>
      <c r="H196" s="258"/>
      <c r="I196" s="258"/>
      <c r="J196" s="258"/>
      <c r="K196" s="375">
        <f>'Oct 12'!K194+426</f>
        <v>9243</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2</v>
      </c>
      <c r="L198" s="258"/>
      <c r="M198" s="261"/>
      <c r="N198" s="286"/>
      <c r="O198" s="6"/>
    </row>
    <row r="199" spans="1:15" ht="15.6" x14ac:dyDescent="0.3">
      <c r="A199" s="275"/>
      <c r="B199" s="258" t="s">
        <v>113</v>
      </c>
      <c r="C199" s="256"/>
      <c r="D199" s="256"/>
      <c r="E199" s="290"/>
      <c r="F199" s="290"/>
      <c r="G199" s="291"/>
      <c r="H199" s="258"/>
      <c r="I199" s="258"/>
      <c r="J199" s="258"/>
      <c r="K199" s="376">
        <v>12.54</v>
      </c>
      <c r="L199" s="258"/>
      <c r="M199" s="261"/>
      <c r="N199" s="286"/>
      <c r="O199" s="6"/>
    </row>
    <row r="200" spans="1:15" ht="15.6" x14ac:dyDescent="0.3">
      <c r="A200" s="275"/>
      <c r="B200" s="258" t="s">
        <v>114</v>
      </c>
      <c r="C200" s="256"/>
      <c r="D200" s="256"/>
      <c r="E200" s="290"/>
      <c r="F200" s="290"/>
      <c r="G200" s="291"/>
      <c r="H200" s="258"/>
      <c r="I200" s="258"/>
      <c r="J200" s="258"/>
      <c r="K200" s="376">
        <v>3.28</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4139</v>
      </c>
      <c r="J205" s="232">
        <f>I205/I213</f>
        <v>0.84694086351544917</v>
      </c>
      <c r="K205" s="221">
        <v>88407</v>
      </c>
      <c r="L205" s="232">
        <f>K205/K213</f>
        <v>0.83048698004734534</v>
      </c>
      <c r="M205" s="228"/>
      <c r="N205" s="218"/>
      <c r="O205" s="6"/>
    </row>
    <row r="206" spans="1:15" ht="15.6" x14ac:dyDescent="0.3">
      <c r="A206" s="255"/>
      <c r="B206" s="256" t="s">
        <v>117</v>
      </c>
      <c r="C206" s="257"/>
      <c r="D206" s="257"/>
      <c r="E206" s="256"/>
      <c r="F206" s="257"/>
      <c r="G206" s="258"/>
      <c r="H206" s="259"/>
      <c r="I206" s="256">
        <v>173</v>
      </c>
      <c r="J206" s="259">
        <f>I206/I213</f>
        <v>3.5400040924902801E-2</v>
      </c>
      <c r="K206" s="260">
        <v>3938</v>
      </c>
      <c r="L206" s="259">
        <f>K206/K213</f>
        <v>3.699319881261038E-2</v>
      </c>
      <c r="M206" s="261"/>
      <c r="N206" s="263"/>
      <c r="O206" s="6"/>
    </row>
    <row r="207" spans="1:15" ht="15.6" x14ac:dyDescent="0.3">
      <c r="A207" s="255"/>
      <c r="B207" s="256" t="s">
        <v>118</v>
      </c>
      <c r="C207" s="257"/>
      <c r="D207" s="257"/>
      <c r="E207" s="256"/>
      <c r="F207" s="257"/>
      <c r="G207" s="256"/>
      <c r="H207" s="259"/>
      <c r="I207" s="256">
        <v>136</v>
      </c>
      <c r="J207" s="259">
        <f>I207/I213</f>
        <v>2.7828933906281973E-2</v>
      </c>
      <c r="K207" s="260">
        <v>3052</v>
      </c>
      <c r="L207" s="259">
        <f>K207/K213</f>
        <v>2.8670198775034756E-2</v>
      </c>
      <c r="M207" s="374"/>
      <c r="N207" s="263"/>
      <c r="O207" s="6"/>
    </row>
    <row r="208" spans="1:15" ht="15.6" x14ac:dyDescent="0.3">
      <c r="A208" s="255"/>
      <c r="B208" s="256" t="s">
        <v>167</v>
      </c>
      <c r="C208" s="257"/>
      <c r="D208" s="257"/>
      <c r="E208" s="256"/>
      <c r="F208" s="257"/>
      <c r="G208" s="256"/>
      <c r="H208" s="259"/>
      <c r="I208" s="256">
        <v>90</v>
      </c>
      <c r="J208" s="259">
        <f>I208/I213</f>
        <v>1.841620626151013E-2</v>
      </c>
      <c r="K208" s="260">
        <v>1908</v>
      </c>
      <c r="L208" s="259">
        <f>K208/K213</f>
        <v>1.7923571187013865E-2</v>
      </c>
      <c r="M208" s="374"/>
      <c r="N208" s="262"/>
      <c r="O208" s="6"/>
    </row>
    <row r="209" spans="1:15" ht="15.6" x14ac:dyDescent="0.3">
      <c r="A209" s="255"/>
      <c r="B209" s="256" t="s">
        <v>168</v>
      </c>
      <c r="C209" s="257"/>
      <c r="D209" s="257"/>
      <c r="E209" s="256"/>
      <c r="F209" s="257"/>
      <c r="G209" s="258"/>
      <c r="H209" s="259"/>
      <c r="I209" s="256">
        <v>70</v>
      </c>
      <c r="J209" s="259">
        <f>I209/I213</f>
        <v>1.4323715981174545E-2</v>
      </c>
      <c r="K209" s="260">
        <v>1675</v>
      </c>
      <c r="L209" s="259">
        <f>K209/K213</f>
        <v>1.5734791267425694E-2</v>
      </c>
      <c r="M209" s="374"/>
      <c r="N209" s="262"/>
      <c r="O209" s="6"/>
    </row>
    <row r="210" spans="1:15" ht="15.6" x14ac:dyDescent="0.3">
      <c r="A210" s="255"/>
      <c r="B210" s="256" t="s">
        <v>169</v>
      </c>
      <c r="C210" s="257"/>
      <c r="D210" s="257"/>
      <c r="E210" s="256"/>
      <c r="F210" s="257"/>
      <c r="G210" s="258"/>
      <c r="H210" s="259"/>
      <c r="I210" s="256">
        <v>65</v>
      </c>
      <c r="J210" s="259">
        <f>I210/I213</f>
        <v>1.3300593411090649E-2</v>
      </c>
      <c r="K210" s="260">
        <v>1909</v>
      </c>
      <c r="L210" s="259">
        <f>K210/K213</f>
        <v>1.7932965092248149E-2</v>
      </c>
      <c r="M210" s="374"/>
      <c r="N210" s="262"/>
      <c r="O210" s="6"/>
    </row>
    <row r="211" spans="1:15" ht="15.6" x14ac:dyDescent="0.3">
      <c r="A211" s="255"/>
      <c r="B211" s="256" t="s">
        <v>176</v>
      </c>
      <c r="C211" s="257"/>
      <c r="D211" s="257"/>
      <c r="E211" s="256"/>
      <c r="F211" s="257"/>
      <c r="G211" s="258"/>
      <c r="H211" s="259"/>
      <c r="I211" s="256">
        <v>120</v>
      </c>
      <c r="J211" s="259">
        <f>I211/I213</f>
        <v>2.4554941682013505E-2</v>
      </c>
      <c r="K211" s="260">
        <v>3194</v>
      </c>
      <c r="L211" s="259">
        <f>K211/K213</f>
        <v>3.0004133318303084E-2</v>
      </c>
      <c r="M211" s="261"/>
      <c r="N211" s="263"/>
      <c r="O211" s="6"/>
    </row>
    <row r="212" spans="1:15" ht="15.6" x14ac:dyDescent="0.3">
      <c r="A212" s="255"/>
      <c r="B212" s="256" t="s">
        <v>202</v>
      </c>
      <c r="C212" s="257"/>
      <c r="D212" s="257"/>
      <c r="E212" s="256"/>
      <c r="F212" s="257"/>
      <c r="G212" s="258"/>
      <c r="H212" s="259"/>
      <c r="I212" s="256">
        <v>94</v>
      </c>
      <c r="J212" s="259">
        <f>+I212/I213</f>
        <v>1.9234704317577244E-2</v>
      </c>
      <c r="K212" s="260">
        <v>2369</v>
      </c>
      <c r="L212" s="259">
        <f>+K212/K213</f>
        <v>2.2254161500018788E-2</v>
      </c>
      <c r="M212" s="261"/>
      <c r="N212" s="263"/>
      <c r="O212" s="6"/>
    </row>
    <row r="213" spans="1:15" ht="15.6" x14ac:dyDescent="0.3">
      <c r="A213" s="255"/>
      <c r="B213" s="258" t="s">
        <v>189</v>
      </c>
      <c r="C213" s="258"/>
      <c r="D213" s="258"/>
      <c r="E213" s="258"/>
      <c r="F213" s="258"/>
      <c r="G213" s="256"/>
      <c r="H213" s="258"/>
      <c r="I213" s="256">
        <f>SUM(I205:I212)</f>
        <v>4887</v>
      </c>
      <c r="J213" s="259">
        <f>SUM(J205:J212)</f>
        <v>1</v>
      </c>
      <c r="K213" s="260">
        <f>SUM(K205:K212)</f>
        <v>106452</v>
      </c>
      <c r="L213" s="259">
        <f>SUM(L205:L212)</f>
        <v>1</v>
      </c>
      <c r="M213" s="258"/>
      <c r="N213" s="264"/>
      <c r="O213" s="6"/>
    </row>
    <row r="214" spans="1:15" ht="15.6" x14ac:dyDescent="0.3">
      <c r="A214" s="255"/>
      <c r="B214" s="256" t="s">
        <v>170</v>
      </c>
      <c r="C214" s="257"/>
      <c r="D214" s="257"/>
      <c r="E214" s="256"/>
      <c r="F214" s="257"/>
      <c r="G214" s="256"/>
      <c r="H214" s="259"/>
      <c r="I214" s="256">
        <v>268</v>
      </c>
      <c r="J214" s="259"/>
      <c r="K214" s="260">
        <v>7620</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1.0412999999999999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218</v>
      </c>
      <c r="C220" s="208"/>
      <c r="D220" s="208"/>
      <c r="E220" s="208"/>
      <c r="F220" s="235" t="s">
        <v>219</v>
      </c>
      <c r="G220" s="208"/>
      <c r="H220" s="208" t="s">
        <v>220</v>
      </c>
      <c r="I220" s="216"/>
      <c r="J220" s="216"/>
      <c r="K220" s="216"/>
      <c r="L220" s="216"/>
      <c r="M220" s="216"/>
      <c r="N220" s="216"/>
      <c r="O220" s="6"/>
    </row>
    <row r="221" spans="1:15" ht="15.6" x14ac:dyDescent="0.3">
      <c r="A221" s="233"/>
      <c r="B221" s="208" t="s">
        <v>221</v>
      </c>
      <c r="C221" s="208"/>
      <c r="D221" s="208"/>
      <c r="E221" s="208"/>
      <c r="F221" s="235" t="s">
        <v>222</v>
      </c>
      <c r="G221" s="208"/>
      <c r="H221" s="208" t="s">
        <v>223</v>
      </c>
      <c r="I221" s="216"/>
      <c r="J221" s="216"/>
      <c r="K221" s="216"/>
      <c r="L221" s="216"/>
      <c r="M221" s="216"/>
      <c r="N221" s="216"/>
      <c r="O221" s="6"/>
    </row>
    <row r="222" spans="1:15" ht="15.6" x14ac:dyDescent="0.3">
      <c r="A222" s="233"/>
      <c r="B222" s="208" t="s">
        <v>224</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JANUARY 2013</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1F00-000000000000}"/>
    <hyperlink ref="K202" r:id="rId2" xr:uid="{00000000-0004-0000-1F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89CB31"/>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41416</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55328.427000000003</v>
      </c>
      <c r="D31" s="345"/>
      <c r="E31" s="344">
        <f>E30*E34</f>
        <v>31118.707199999997</v>
      </c>
      <c r="F31" s="344"/>
      <c r="G31" s="344">
        <f>G30*G34</f>
        <v>20004.8832</v>
      </c>
      <c r="H31" s="346"/>
      <c r="I31" s="346"/>
      <c r="J31" s="346"/>
      <c r="K31" s="346"/>
      <c r="L31" s="347"/>
      <c r="M31" s="344">
        <f>C31+E31+G31</f>
        <v>106452.0174</v>
      </c>
      <c r="N31" s="348"/>
      <c r="O31" s="6"/>
    </row>
    <row r="32" spans="1:15" ht="15.6" x14ac:dyDescent="0.3">
      <c r="A32" s="340"/>
      <c r="B32" s="319" t="s">
        <v>16</v>
      </c>
      <c r="C32" s="349">
        <f>C30*C33</f>
        <v>51253.078800000003</v>
      </c>
      <c r="D32" s="350"/>
      <c r="E32" s="349">
        <f>E30*E33</f>
        <v>31118.707199999997</v>
      </c>
      <c r="F32" s="349"/>
      <c r="G32" s="349">
        <f>G30*G33</f>
        <v>20004.8832</v>
      </c>
      <c r="H32" s="351"/>
      <c r="I32" s="351"/>
      <c r="J32" s="351"/>
      <c r="K32" s="351"/>
      <c r="L32" s="352"/>
      <c r="M32" s="344">
        <f>C32+E32+G32</f>
        <v>102376.66919999999</v>
      </c>
      <c r="N32" s="348"/>
      <c r="O32" s="6"/>
    </row>
    <row r="33" spans="1:15" ht="15.6" x14ac:dyDescent="0.3">
      <c r="A33" s="340"/>
      <c r="B33" s="278" t="s">
        <v>174</v>
      </c>
      <c r="C33" s="371">
        <v>0.22187480000000001</v>
      </c>
      <c r="D33" s="372"/>
      <c r="E33" s="371">
        <v>0.74092159999999996</v>
      </c>
      <c r="F33" s="371"/>
      <c r="G33" s="371">
        <v>0.74092159999999996</v>
      </c>
      <c r="H33" s="373"/>
      <c r="I33" s="373"/>
      <c r="J33" s="351"/>
      <c r="K33" s="351"/>
      <c r="L33" s="352"/>
      <c r="M33" s="351"/>
      <c r="N33" s="348"/>
      <c r="O33" s="6"/>
    </row>
    <row r="34" spans="1:15" ht="15.6" x14ac:dyDescent="0.3">
      <c r="A34" s="340"/>
      <c r="B34" s="278" t="s">
        <v>175</v>
      </c>
      <c r="C34" s="371">
        <v>0.23951700000000001</v>
      </c>
      <c r="D34" s="372"/>
      <c r="E34" s="371">
        <v>0.74092159999999996</v>
      </c>
      <c r="F34" s="371"/>
      <c r="G34" s="371">
        <v>0.74092159999999996</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9.1000000000000004E-3</v>
      </c>
      <c r="D36" s="258"/>
      <c r="E36" s="356">
        <v>2.01E-2</v>
      </c>
      <c r="F36" s="304"/>
      <c r="G36" s="356">
        <v>2.5100000000000001E-2</v>
      </c>
      <c r="H36" s="304"/>
      <c r="I36" s="356"/>
      <c r="J36" s="304"/>
      <c r="K36" s="356"/>
      <c r="L36" s="321"/>
      <c r="M36" s="304">
        <f>SUMPRODUCT(C36:G36,C31:G31)/M31</f>
        <v>1.5322370665940993E-2</v>
      </c>
      <c r="N36" s="264"/>
      <c r="O36" s="6"/>
    </row>
    <row r="37" spans="1:15" ht="15.6" x14ac:dyDescent="0.3">
      <c r="A37" s="307"/>
      <c r="B37" s="258" t="s">
        <v>19</v>
      </c>
      <c r="C37" s="356">
        <v>9.2312999999999996E-3</v>
      </c>
      <c r="D37" s="258"/>
      <c r="E37" s="356">
        <v>2.0231300000000001E-2</v>
      </c>
      <c r="F37" s="304"/>
      <c r="G37" s="356">
        <v>2.5231300000000002E-2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0.99747354884756689</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41409</v>
      </c>
      <c r="N47" s="264"/>
      <c r="O47" s="6"/>
    </row>
    <row r="48" spans="1:15" ht="15.6" x14ac:dyDescent="0.3">
      <c r="A48" s="307"/>
      <c r="B48" s="258" t="s">
        <v>26</v>
      </c>
      <c r="C48" s="258"/>
      <c r="D48" s="258"/>
      <c r="E48" s="258"/>
      <c r="F48" s="258"/>
      <c r="G48" s="258"/>
      <c r="H48" s="258"/>
      <c r="I48" s="258"/>
      <c r="J48" s="258">
        <f>M48-K48+1</f>
        <v>92</v>
      </c>
      <c r="K48" s="360">
        <v>41228</v>
      </c>
      <c r="L48" s="361"/>
      <c r="M48" s="360">
        <v>41319</v>
      </c>
      <c r="N48" s="264"/>
      <c r="O48" s="6"/>
    </row>
    <row r="49" spans="1:15" ht="15.6" x14ac:dyDescent="0.3">
      <c r="A49" s="307"/>
      <c r="B49" s="258" t="s">
        <v>27</v>
      </c>
      <c r="C49" s="258"/>
      <c r="D49" s="258"/>
      <c r="E49" s="258"/>
      <c r="F49" s="258"/>
      <c r="G49" s="258"/>
      <c r="H49" s="258"/>
      <c r="I49" s="258"/>
      <c r="J49" s="258">
        <f>M49-K49+1</f>
        <v>89</v>
      </c>
      <c r="K49" s="360">
        <v>41320</v>
      </c>
      <c r="L49" s="361"/>
      <c r="M49" s="360">
        <v>41408</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41395</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259</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106452</v>
      </c>
      <c r="F58" s="256"/>
      <c r="G58" s="256">
        <f>3404+671</f>
        <v>4075</v>
      </c>
      <c r="H58" s="256"/>
      <c r="I58" s="256">
        <v>0</v>
      </c>
      <c r="J58" s="256"/>
      <c r="K58" s="256">
        <v>0</v>
      </c>
      <c r="L58" s="256"/>
      <c r="M58" s="260">
        <f>E58-G58+I58-K58</f>
        <v>102377</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106452</v>
      </c>
      <c r="F62" s="256"/>
      <c r="G62" s="256">
        <f>SUM(G58:G61)</f>
        <v>4075</v>
      </c>
      <c r="H62" s="256"/>
      <c r="I62" s="256">
        <f>SUM(I58:I61)</f>
        <v>0</v>
      </c>
      <c r="J62" s="256"/>
      <c r="K62" s="256">
        <f>SUM(K58:K61)</f>
        <v>0</v>
      </c>
      <c r="L62" s="256"/>
      <c r="M62" s="256">
        <f>SUM(M58:M61)</f>
        <v>102377</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106452</v>
      </c>
      <c r="F75" s="256"/>
      <c r="G75" s="256"/>
      <c r="H75" s="256"/>
      <c r="I75" s="256"/>
      <c r="J75" s="256"/>
      <c r="K75" s="256"/>
      <c r="L75" s="256"/>
      <c r="M75" s="256">
        <f>SUM(M62:M74)</f>
        <v>102377</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41394</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4075-671</f>
        <v>3404</v>
      </c>
      <c r="L80" s="258"/>
      <c r="M80" s="260"/>
      <c r="N80" s="264"/>
      <c r="O80" s="6"/>
    </row>
    <row r="81" spans="1:16" ht="15.6" x14ac:dyDescent="0.3">
      <c r="A81" s="307"/>
      <c r="B81" s="258" t="s">
        <v>204</v>
      </c>
      <c r="C81" s="290"/>
      <c r="D81" s="325"/>
      <c r="E81" s="326"/>
      <c r="F81" s="258"/>
      <c r="G81" s="258"/>
      <c r="H81" s="258"/>
      <c r="I81" s="258"/>
      <c r="J81" s="258"/>
      <c r="K81" s="256"/>
      <c r="L81" s="258"/>
      <c r="M81" s="260">
        <f>4849+24-2199</f>
        <v>2674</v>
      </c>
      <c r="N81" s="264"/>
      <c r="O81" s="6"/>
    </row>
    <row r="82" spans="1:16" ht="15.6" x14ac:dyDescent="0.3">
      <c r="A82" s="307"/>
      <c r="B82" s="258" t="s">
        <v>205</v>
      </c>
      <c r="C82" s="290"/>
      <c r="D82" s="325"/>
      <c r="E82" s="326"/>
      <c r="F82" s="258"/>
      <c r="G82" s="258"/>
      <c r="H82" s="258"/>
      <c r="I82" s="258"/>
      <c r="J82" s="258"/>
      <c r="K82" s="256"/>
      <c r="L82" s="258"/>
      <c r="M82" s="260">
        <v>113</v>
      </c>
      <c r="N82" s="264"/>
      <c r="O82" s="6"/>
    </row>
    <row r="83" spans="1:16" ht="15.6" x14ac:dyDescent="0.3">
      <c r="A83" s="307"/>
      <c r="B83" s="258" t="s">
        <v>206</v>
      </c>
      <c r="C83" s="290"/>
      <c r="D83" s="325"/>
      <c r="E83" s="326"/>
      <c r="F83" s="258"/>
      <c r="G83" s="258"/>
      <c r="H83" s="258"/>
      <c r="I83" s="258"/>
      <c r="J83" s="258"/>
      <c r="K83" s="256"/>
      <c r="L83" s="258"/>
      <c r="M83" s="260">
        <v>20</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3404</v>
      </c>
      <c r="L85" s="258"/>
      <c r="M85" s="256">
        <f>SUM(M79:M84)</f>
        <v>2807</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3404</v>
      </c>
      <c r="L87" s="258"/>
      <c r="M87" s="256">
        <f>M85+M86</f>
        <v>2807</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-40-54-1</f>
        <v>-95</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-123</v>
      </c>
      <c r="N93" s="311"/>
      <c r="O93" s="6"/>
    </row>
    <row r="94" spans="1:16" ht="15.6" x14ac:dyDescent="0.3">
      <c r="A94" s="255">
        <v>5</v>
      </c>
      <c r="B94" s="258" t="s">
        <v>52</v>
      </c>
      <c r="C94" s="258"/>
      <c r="D94" s="258"/>
      <c r="E94" s="258"/>
      <c r="F94" s="258"/>
      <c r="G94" s="258"/>
      <c r="H94" s="258"/>
      <c r="I94" s="258"/>
      <c r="J94" s="258"/>
      <c r="K94" s="258"/>
      <c r="L94" s="258"/>
      <c r="M94" s="260">
        <v>-153</v>
      </c>
      <c r="N94" s="311"/>
      <c r="O94" s="6"/>
    </row>
    <row r="95" spans="1:16" ht="15.6" x14ac:dyDescent="0.3">
      <c r="A95" s="255">
        <v>6</v>
      </c>
      <c r="B95" s="258" t="s">
        <v>172</v>
      </c>
      <c r="C95" s="258"/>
      <c r="D95" s="258"/>
      <c r="E95" s="258"/>
      <c r="F95" s="258"/>
      <c r="G95" s="258"/>
      <c r="H95" s="258"/>
      <c r="I95" s="258"/>
      <c r="J95" s="258"/>
      <c r="K95" s="258"/>
      <c r="L95" s="258"/>
      <c r="M95" s="260">
        <v>-122</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671</v>
      </c>
      <c r="L97" s="258"/>
      <c r="M97" s="260">
        <v>-671</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-82</v>
      </c>
      <c r="N101" s="311"/>
      <c r="O101" s="6"/>
    </row>
    <row r="102" spans="1:16" ht="15.6" x14ac:dyDescent="0.3">
      <c r="A102" s="255">
        <v>13</v>
      </c>
      <c r="B102" s="258" t="s">
        <v>195</v>
      </c>
      <c r="C102" s="258"/>
      <c r="D102" s="258"/>
      <c r="E102" s="258"/>
      <c r="F102" s="258"/>
      <c r="G102" s="258"/>
      <c r="H102" s="258"/>
      <c r="I102" s="258"/>
      <c r="J102" s="258"/>
      <c r="K102" s="258"/>
      <c r="L102" s="258"/>
      <c r="M102" s="260">
        <f>-M87-SUM(M89:M101)</f>
        <v>-1552</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-4075</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+K105+K106+K107+K108+K109</f>
        <v>-4075</v>
      </c>
      <c r="L110" s="256"/>
      <c r="M110" s="256">
        <f>SUM(M88:M109)</f>
        <v>-2807</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APRIL 2013</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127</v>
      </c>
      <c r="N139" s="264"/>
      <c r="O139" s="6"/>
    </row>
    <row r="140" spans="1:15" ht="15.6" x14ac:dyDescent="0.3">
      <c r="A140" s="307"/>
      <c r="B140" s="258" t="s">
        <v>180</v>
      </c>
      <c r="C140" s="258"/>
      <c r="D140" s="258"/>
      <c r="E140" s="258"/>
      <c r="F140" s="258"/>
      <c r="G140" s="258"/>
      <c r="H140" s="258"/>
      <c r="I140" s="258"/>
      <c r="J140" s="258"/>
      <c r="K140" s="258"/>
      <c r="L140" s="258"/>
      <c r="M140" s="260">
        <f>509+35</f>
        <v>544</v>
      </c>
      <c r="N140" s="264"/>
      <c r="O140" s="6"/>
    </row>
    <row r="141" spans="1:15" ht="15.6" x14ac:dyDescent="0.3">
      <c r="A141" s="307"/>
      <c r="B141" s="258" t="s">
        <v>77</v>
      </c>
      <c r="C141" s="258"/>
      <c r="D141" s="258"/>
      <c r="E141" s="258"/>
      <c r="F141" s="258"/>
      <c r="G141" s="258"/>
      <c r="H141" s="258"/>
      <c r="I141" s="258"/>
      <c r="J141" s="258"/>
      <c r="K141" s="258"/>
      <c r="L141" s="258"/>
      <c r="M141" s="260">
        <f>M139+M138+M140</f>
        <v>671</v>
      </c>
      <c r="N141" s="264"/>
      <c r="O141" s="6"/>
    </row>
    <row r="142" spans="1:15" ht="15.6" x14ac:dyDescent="0.3">
      <c r="A142" s="307"/>
      <c r="B142" s="258" t="s">
        <v>183</v>
      </c>
      <c r="C142" s="258"/>
      <c r="D142" s="258"/>
      <c r="E142" s="258"/>
      <c r="F142" s="258"/>
      <c r="G142" s="258"/>
      <c r="H142" s="258"/>
      <c r="I142" s="303"/>
      <c r="J142" s="258"/>
      <c r="K142" s="258"/>
      <c r="L142" s="258"/>
      <c r="M142" s="260">
        <f>M97</f>
        <v>-671</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102377</v>
      </c>
      <c r="N148" s="318"/>
      <c r="O148" s="6"/>
      <c r="P148" s="117"/>
    </row>
    <row r="149" spans="1:16" ht="15.6" x14ac:dyDescent="0.3">
      <c r="A149" s="307"/>
      <c r="B149" s="258" t="s">
        <v>80</v>
      </c>
      <c r="C149" s="319"/>
      <c r="D149" s="319"/>
      <c r="E149" s="258"/>
      <c r="F149" s="258"/>
      <c r="G149" s="258"/>
      <c r="H149" s="258"/>
      <c r="I149" s="258"/>
      <c r="J149" s="258"/>
      <c r="K149" s="258"/>
      <c r="L149" s="258"/>
      <c r="M149" s="260">
        <f>M75</f>
        <v>102377</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+'Jan 13'!I156</f>
        <v>7636</v>
      </c>
      <c r="J154" s="258"/>
      <c r="K154" s="260">
        <f>+'Jan 13'!K156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22.032520325203251</v>
      </c>
      <c r="N161" s="264" t="s">
        <v>145</v>
      </c>
      <c r="O161" s="6"/>
    </row>
    <row r="162" spans="1:15" ht="15.6" x14ac:dyDescent="0.3">
      <c r="A162" s="307"/>
      <c r="B162" s="258" t="s">
        <v>89</v>
      </c>
      <c r="C162" s="258"/>
      <c r="D162" s="258"/>
      <c r="E162" s="258"/>
      <c r="F162" s="258"/>
      <c r="G162" s="258"/>
      <c r="H162" s="258"/>
      <c r="I162" s="258"/>
      <c r="J162" s="258"/>
      <c r="K162" s="258"/>
      <c r="L162" s="258"/>
      <c r="M162" s="309">
        <v>3.4</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16.908496732026144</v>
      </c>
      <c r="N163" s="264" t="s">
        <v>145</v>
      </c>
      <c r="O163" s="6"/>
    </row>
    <row r="164" spans="1:15" ht="15.6" x14ac:dyDescent="0.3">
      <c r="A164" s="307"/>
      <c r="B164" s="258" t="s">
        <v>91</v>
      </c>
      <c r="C164" s="258"/>
      <c r="D164" s="258"/>
      <c r="E164" s="258"/>
      <c r="F164" s="258"/>
      <c r="G164" s="258"/>
      <c r="H164" s="258"/>
      <c r="I164" s="258"/>
      <c r="J164" s="258"/>
      <c r="K164" s="258"/>
      <c r="L164" s="258"/>
      <c r="M164" s="310">
        <v>9.5299999999999994</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19.950819672131146</v>
      </c>
      <c r="N165" s="264" t="s">
        <v>145</v>
      </c>
      <c r="O165" s="6"/>
    </row>
    <row r="166" spans="1:15" ht="15.6" x14ac:dyDescent="0.3">
      <c r="A166" s="307"/>
      <c r="B166" s="258" t="s">
        <v>182</v>
      </c>
      <c r="C166" s="258"/>
      <c r="D166" s="258"/>
      <c r="E166" s="258"/>
      <c r="F166" s="258"/>
      <c r="G166" s="258"/>
      <c r="H166" s="258"/>
      <c r="I166" s="258"/>
      <c r="J166" s="258"/>
      <c r="K166" s="258"/>
      <c r="L166" s="258"/>
      <c r="M166" s="310">
        <v>12.24</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APRIL 2013</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41394</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9.5600000000000004E-2</v>
      </c>
      <c r="L176" s="258"/>
      <c r="M176" s="258"/>
      <c r="N176" s="264"/>
      <c r="O176" s="6"/>
    </row>
    <row r="177" spans="1:15" ht="15.6" x14ac:dyDescent="0.3">
      <c r="A177" s="301"/>
      <c r="B177" s="258" t="s">
        <v>97</v>
      </c>
      <c r="C177" s="302"/>
      <c r="D177" s="302"/>
      <c r="E177" s="302"/>
      <c r="F177" s="302"/>
      <c r="G177" s="302"/>
      <c r="H177" s="303"/>
      <c r="I177" s="303"/>
      <c r="J177" s="303"/>
      <c r="K177" s="304">
        <f>M36</f>
        <v>1.5322370665940993E-2</v>
      </c>
      <c r="L177" s="258"/>
      <c r="M177" s="258"/>
      <c r="N177" s="264"/>
      <c r="O177" s="6"/>
    </row>
    <row r="178" spans="1:15" ht="15.6" x14ac:dyDescent="0.3">
      <c r="A178" s="301"/>
      <c r="B178" s="258" t="s">
        <v>98</v>
      </c>
      <c r="C178" s="302"/>
      <c r="D178" s="302"/>
      <c r="E178" s="302"/>
      <c r="F178" s="302"/>
      <c r="G178" s="302"/>
      <c r="H178" s="303"/>
      <c r="I178" s="303"/>
      <c r="J178" s="303"/>
      <c r="K178" s="304">
        <f>K176-K177</f>
        <v>8.0277629334059006E-2</v>
      </c>
      <c r="L178" s="258"/>
      <c r="M178" s="258"/>
      <c r="N178" s="264"/>
      <c r="O178" s="6"/>
    </row>
    <row r="179" spans="1:15" ht="15.6" x14ac:dyDescent="0.3">
      <c r="A179" s="301"/>
      <c r="B179" s="258" t="s">
        <v>211</v>
      </c>
      <c r="C179" s="302"/>
      <c r="D179" s="302"/>
      <c r="E179" s="302"/>
      <c r="F179" s="302"/>
      <c r="G179" s="302"/>
      <c r="H179" s="303"/>
      <c r="I179" s="303"/>
      <c r="J179" s="303"/>
      <c r="K179" s="304">
        <f>(+M87+M89)/E58</f>
        <v>2.6368691992635179E-2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12.41</v>
      </c>
      <c r="L184" s="258" t="s">
        <v>139</v>
      </c>
      <c r="M184" s="258"/>
      <c r="N184" s="264"/>
      <c r="O184" s="6"/>
    </row>
    <row r="185" spans="1:15" ht="15.6" x14ac:dyDescent="0.3">
      <c r="A185" s="301"/>
      <c r="B185" s="258" t="s">
        <v>103</v>
      </c>
      <c r="C185" s="302"/>
      <c r="D185" s="302"/>
      <c r="E185" s="302"/>
      <c r="F185" s="302"/>
      <c r="G185" s="302"/>
      <c r="H185" s="303"/>
      <c r="I185" s="303"/>
      <c r="J185" s="303"/>
      <c r="K185" s="304">
        <f>K80/E58</f>
        <v>3.1976853417502726E-2</v>
      </c>
      <c r="L185" s="258"/>
      <c r="M185" s="258"/>
      <c r="N185" s="264"/>
      <c r="O185" s="6"/>
    </row>
    <row r="186" spans="1:15" ht="15.6" x14ac:dyDescent="0.3">
      <c r="A186" s="301"/>
      <c r="B186" s="258" t="s">
        <v>104</v>
      </c>
      <c r="C186" s="302"/>
      <c r="D186" s="302"/>
      <c r="E186" s="302"/>
      <c r="F186" s="302"/>
      <c r="G186" s="302"/>
      <c r="H186" s="303"/>
      <c r="I186" s="303"/>
      <c r="J186" s="303"/>
      <c r="K186" s="304">
        <v>0.2467</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726</v>
      </c>
      <c r="K189" s="369">
        <v>17383</v>
      </c>
      <c r="L189" s="217"/>
      <c r="M189" s="229"/>
      <c r="N189" s="230"/>
      <c r="O189" s="6"/>
    </row>
    <row r="190" spans="1:15" ht="15.6" x14ac:dyDescent="0.3">
      <c r="A190" s="275"/>
      <c r="B190" s="258" t="s">
        <v>196</v>
      </c>
      <c r="C190" s="256"/>
      <c r="D190" s="256"/>
      <c r="E190" s="256"/>
      <c r="F190" s="256"/>
      <c r="G190" s="258"/>
      <c r="H190" s="258"/>
      <c r="I190" s="258"/>
      <c r="J190" s="276">
        <v>0</v>
      </c>
      <c r="K190" s="277">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671</v>
      </c>
      <c r="L194" s="258"/>
      <c r="M194" s="281"/>
      <c r="N194" s="286"/>
      <c r="O194" s="6"/>
    </row>
    <row r="195" spans="1:15" ht="15.6" x14ac:dyDescent="0.3">
      <c r="A195" s="275"/>
      <c r="B195" s="258" t="s">
        <v>111</v>
      </c>
      <c r="C195" s="256"/>
      <c r="D195" s="256"/>
      <c r="E195" s="256"/>
      <c r="F195" s="256"/>
      <c r="G195" s="256"/>
      <c r="H195" s="258"/>
      <c r="I195" s="258"/>
      <c r="J195" s="258"/>
      <c r="K195" s="375">
        <f>'Jan 13'!K195+'April 13'!K194</f>
        <v>33515</v>
      </c>
      <c r="L195" s="258"/>
      <c r="M195" s="281"/>
      <c r="N195" s="286"/>
      <c r="O195" s="6"/>
    </row>
    <row r="196" spans="1:15" ht="15.6" x14ac:dyDescent="0.3">
      <c r="A196" s="275"/>
      <c r="B196" s="258" t="s">
        <v>112</v>
      </c>
      <c r="C196" s="256"/>
      <c r="D196" s="256"/>
      <c r="E196" s="256"/>
      <c r="F196" s="256"/>
      <c r="G196" s="256"/>
      <c r="H196" s="258"/>
      <c r="I196" s="258"/>
      <c r="J196" s="258"/>
      <c r="K196" s="375">
        <f>'Jan 13'!K196+328</f>
        <v>9571</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277">
        <v>0</v>
      </c>
      <c r="L198" s="258"/>
      <c r="M198" s="261"/>
      <c r="N198" s="286"/>
      <c r="O198" s="6"/>
    </row>
    <row r="199" spans="1:15" ht="15.6" x14ac:dyDescent="0.3">
      <c r="A199" s="275"/>
      <c r="B199" s="258" t="s">
        <v>113</v>
      </c>
      <c r="C199" s="256"/>
      <c r="D199" s="256"/>
      <c r="E199" s="290"/>
      <c r="F199" s="290"/>
      <c r="G199" s="291"/>
      <c r="H199" s="258"/>
      <c r="I199" s="258"/>
      <c r="J199" s="258"/>
      <c r="K199" s="292">
        <v>0</v>
      </c>
      <c r="L199" s="258"/>
      <c r="M199" s="261"/>
      <c r="N199" s="286"/>
      <c r="O199" s="6"/>
    </row>
    <row r="200" spans="1:15" ht="15.6" x14ac:dyDescent="0.3">
      <c r="A200" s="275"/>
      <c r="B200" s="258" t="s">
        <v>114</v>
      </c>
      <c r="C200" s="256"/>
      <c r="D200" s="256"/>
      <c r="E200" s="290"/>
      <c r="F200" s="290"/>
      <c r="G200" s="291"/>
      <c r="H200" s="258"/>
      <c r="I200" s="258"/>
      <c r="J200" s="258"/>
      <c r="K200" s="292">
        <v>0</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3983</v>
      </c>
      <c r="J205" s="232">
        <f>I205/I213</f>
        <v>0.84582713952006794</v>
      </c>
      <c r="K205" s="221">
        <v>84994</v>
      </c>
      <c r="L205" s="232">
        <f>K205/K213</f>
        <v>0.83020600330152283</v>
      </c>
      <c r="M205" s="228"/>
      <c r="N205" s="218"/>
      <c r="O205" s="6"/>
    </row>
    <row r="206" spans="1:15" ht="15.6" x14ac:dyDescent="0.3">
      <c r="A206" s="255"/>
      <c r="B206" s="256" t="s">
        <v>117</v>
      </c>
      <c r="C206" s="257"/>
      <c r="D206" s="257"/>
      <c r="E206" s="256"/>
      <c r="F206" s="257"/>
      <c r="G206" s="258"/>
      <c r="H206" s="259"/>
      <c r="I206" s="256">
        <v>167</v>
      </c>
      <c r="J206" s="259">
        <f>I206/I213</f>
        <v>3.5464005096623487E-2</v>
      </c>
      <c r="K206" s="260">
        <v>3668</v>
      </c>
      <c r="L206" s="259">
        <f>K206/K213</f>
        <v>3.582835988552116E-2</v>
      </c>
      <c r="M206" s="261"/>
      <c r="N206" s="263"/>
      <c r="O206" s="6"/>
    </row>
    <row r="207" spans="1:15" ht="15.6" x14ac:dyDescent="0.3">
      <c r="A207" s="255"/>
      <c r="B207" s="256" t="s">
        <v>118</v>
      </c>
      <c r="C207" s="257"/>
      <c r="D207" s="257"/>
      <c r="E207" s="256"/>
      <c r="F207" s="257"/>
      <c r="G207" s="256"/>
      <c r="H207" s="259"/>
      <c r="I207" s="256">
        <v>109</v>
      </c>
      <c r="J207" s="259">
        <f>I207/I213</f>
        <v>2.314716500318539E-2</v>
      </c>
      <c r="K207" s="260">
        <v>2519</v>
      </c>
      <c r="L207" s="259">
        <f>K207/K213</f>
        <v>2.4605135919200601E-2</v>
      </c>
      <c r="M207" s="374"/>
      <c r="N207" s="263"/>
      <c r="O207" s="6"/>
    </row>
    <row r="208" spans="1:15" ht="15.6" x14ac:dyDescent="0.3">
      <c r="A208" s="255"/>
      <c r="B208" s="256" t="s">
        <v>167</v>
      </c>
      <c r="C208" s="257"/>
      <c r="D208" s="257"/>
      <c r="E208" s="256"/>
      <c r="F208" s="257"/>
      <c r="G208" s="256"/>
      <c r="H208" s="259"/>
      <c r="I208" s="256">
        <v>91</v>
      </c>
      <c r="J208" s="259">
        <f>I208/I213</f>
        <v>1.9324697387980462E-2</v>
      </c>
      <c r="K208" s="260">
        <v>1946</v>
      </c>
      <c r="L208" s="259">
        <f>K208/K213</f>
        <v>1.9008175664455885E-2</v>
      </c>
      <c r="M208" s="374"/>
      <c r="N208" s="263"/>
      <c r="O208" s="6"/>
    </row>
    <row r="209" spans="1:15" ht="15.6" x14ac:dyDescent="0.3">
      <c r="A209" s="255"/>
      <c r="B209" s="256" t="s">
        <v>168</v>
      </c>
      <c r="C209" s="257"/>
      <c r="D209" s="257"/>
      <c r="E209" s="256"/>
      <c r="F209" s="257"/>
      <c r="G209" s="258"/>
      <c r="H209" s="259"/>
      <c r="I209" s="256">
        <v>72</v>
      </c>
      <c r="J209" s="259">
        <f>I209/I213</f>
        <v>1.5289870460819708E-2</v>
      </c>
      <c r="K209" s="260">
        <v>1656</v>
      </c>
      <c r="L209" s="259">
        <f>K209/K213</f>
        <v>1.6175508170780548E-2</v>
      </c>
      <c r="M209" s="374"/>
      <c r="N209" s="262"/>
      <c r="O209" s="6"/>
    </row>
    <row r="210" spans="1:15" ht="15.6" x14ac:dyDescent="0.3">
      <c r="A210" s="255"/>
      <c r="B210" s="256" t="s">
        <v>169</v>
      </c>
      <c r="C210" s="257"/>
      <c r="D210" s="257"/>
      <c r="E210" s="256"/>
      <c r="F210" s="257"/>
      <c r="G210" s="258"/>
      <c r="H210" s="259"/>
      <c r="I210" s="256">
        <v>64</v>
      </c>
      <c r="J210" s="259">
        <f>I210/I213</f>
        <v>1.3590995965173073E-2</v>
      </c>
      <c r="K210" s="260">
        <v>1533</v>
      </c>
      <c r="L210" s="259">
        <f>K210/K213</f>
        <v>1.4974066440704455E-2</v>
      </c>
      <c r="M210" s="374"/>
      <c r="N210" s="262"/>
      <c r="O210" s="6"/>
    </row>
    <row r="211" spans="1:15" ht="15.6" x14ac:dyDescent="0.3">
      <c r="A211" s="255"/>
      <c r="B211" s="256" t="s">
        <v>176</v>
      </c>
      <c r="C211" s="257"/>
      <c r="D211" s="257"/>
      <c r="E211" s="256"/>
      <c r="F211" s="257"/>
      <c r="G211" s="258"/>
      <c r="H211" s="259"/>
      <c r="I211" s="256">
        <v>139</v>
      </c>
      <c r="J211" s="259">
        <f>I211/I213</f>
        <v>2.9517944361860268E-2</v>
      </c>
      <c r="K211" s="260">
        <v>3785</v>
      </c>
      <c r="L211" s="259">
        <f>K211/K213</f>
        <v>3.6971194701935002E-2</v>
      </c>
      <c r="M211" s="261"/>
      <c r="N211" s="263"/>
      <c r="O211" s="6"/>
    </row>
    <row r="212" spans="1:15" ht="15.6" x14ac:dyDescent="0.3">
      <c r="A212" s="255"/>
      <c r="B212" s="256" t="s">
        <v>202</v>
      </c>
      <c r="C212" s="257"/>
      <c r="D212" s="257"/>
      <c r="E212" s="256"/>
      <c r="F212" s="257"/>
      <c r="G212" s="258"/>
      <c r="H212" s="259"/>
      <c r="I212" s="256">
        <v>84</v>
      </c>
      <c r="J212" s="259">
        <f>+I212/I213</f>
        <v>1.7838182204289659E-2</v>
      </c>
      <c r="K212" s="260">
        <v>2276</v>
      </c>
      <c r="L212" s="259">
        <f>+K212/K213</f>
        <v>2.2231555915879542E-2</v>
      </c>
      <c r="M212" s="261"/>
      <c r="N212" s="263"/>
      <c r="O212" s="6"/>
    </row>
    <row r="213" spans="1:15" ht="15.6" x14ac:dyDescent="0.3">
      <c r="A213" s="255"/>
      <c r="B213" s="258" t="s">
        <v>189</v>
      </c>
      <c r="C213" s="258"/>
      <c r="D213" s="258"/>
      <c r="E213" s="258"/>
      <c r="F213" s="258"/>
      <c r="G213" s="256"/>
      <c r="H213" s="258"/>
      <c r="I213" s="256">
        <f>SUM(I205:I212)</f>
        <v>4709</v>
      </c>
      <c r="J213" s="259">
        <f>SUM(J205:J212)</f>
        <v>1</v>
      </c>
      <c r="K213" s="260">
        <f>SUM(K205:K212)</f>
        <v>102377</v>
      </c>
      <c r="L213" s="259">
        <f>SUM(L205:L212)</f>
        <v>0.99999999999999989</v>
      </c>
      <c r="M213" s="258"/>
      <c r="N213" s="264"/>
      <c r="O213" s="6"/>
    </row>
    <row r="214" spans="1:15" ht="15.6" x14ac:dyDescent="0.3">
      <c r="A214" s="255"/>
      <c r="B214" s="256" t="s">
        <v>170</v>
      </c>
      <c r="C214" s="257"/>
      <c r="D214" s="257"/>
      <c r="E214" s="256"/>
      <c r="F214" s="257"/>
      <c r="G214" s="256"/>
      <c r="H214" s="259"/>
      <c r="I214" s="256">
        <v>278</v>
      </c>
      <c r="J214" s="259"/>
      <c r="K214" s="260">
        <v>7746</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1.1016999999999999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218</v>
      </c>
      <c r="C220" s="208"/>
      <c r="D220" s="208"/>
      <c r="E220" s="208"/>
      <c r="F220" s="235" t="s">
        <v>219</v>
      </c>
      <c r="G220" s="208"/>
      <c r="H220" s="208" t="s">
        <v>220</v>
      </c>
      <c r="I220" s="216"/>
      <c r="J220" s="216"/>
      <c r="K220" s="216"/>
      <c r="L220" s="216"/>
      <c r="M220" s="216"/>
      <c r="N220" s="216"/>
      <c r="O220" s="6"/>
    </row>
    <row r="221" spans="1:15" ht="15.6" x14ac:dyDescent="0.3">
      <c r="A221" s="233"/>
      <c r="B221" s="208" t="s">
        <v>221</v>
      </c>
      <c r="C221" s="208"/>
      <c r="D221" s="208"/>
      <c r="E221" s="208"/>
      <c r="F221" s="235" t="s">
        <v>222</v>
      </c>
      <c r="G221" s="208"/>
      <c r="H221" s="208" t="s">
        <v>223</v>
      </c>
      <c r="I221" s="216"/>
      <c r="J221" s="216"/>
      <c r="K221" s="216"/>
      <c r="L221" s="216"/>
      <c r="M221" s="216"/>
      <c r="N221" s="216"/>
      <c r="O221" s="6"/>
    </row>
    <row r="222" spans="1:15" ht="15.6" x14ac:dyDescent="0.3">
      <c r="A222" s="233"/>
      <c r="B222" s="208" t="s">
        <v>224</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APRIL 2013</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000-000000000000}"/>
    <hyperlink ref="K202" r:id="rId2" xr:uid="{00000000-0004-0000-20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2D2926"/>
  </sheetPr>
  <dimension ref="A1:P227"/>
  <sheetViews>
    <sheetView showOutlineSymbols="0" zoomScale="70" zoomScaleNormal="70" workbookViewId="0">
      <selection activeCell="C47" activeCellId="1" sqref="A1 C47"/>
    </sheetView>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41508</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51253.078800000003</v>
      </c>
      <c r="D31" s="345"/>
      <c r="E31" s="344">
        <f>E30*E34</f>
        <v>31118.707199999997</v>
      </c>
      <c r="F31" s="344"/>
      <c r="G31" s="344">
        <f>G30*G34</f>
        <v>20004.8832</v>
      </c>
      <c r="H31" s="346"/>
      <c r="I31" s="346"/>
      <c r="J31" s="346"/>
      <c r="K31" s="346"/>
      <c r="L31" s="347"/>
      <c r="M31" s="344">
        <f>C31+E31+G31</f>
        <v>102376.66919999999</v>
      </c>
      <c r="N31" s="348"/>
      <c r="O31" s="6"/>
    </row>
    <row r="32" spans="1:15" ht="15.6" x14ac:dyDescent="0.3">
      <c r="A32" s="340"/>
      <c r="B32" s="319" t="s">
        <v>16</v>
      </c>
      <c r="C32" s="349">
        <f>C30*C33</f>
        <v>47325.755400000002</v>
      </c>
      <c r="D32" s="350"/>
      <c r="E32" s="349">
        <f>E30*E33</f>
        <v>31118.707199999997</v>
      </c>
      <c r="F32" s="349"/>
      <c r="G32" s="349">
        <f>G30*G33</f>
        <v>20004.8832</v>
      </c>
      <c r="H32" s="351"/>
      <c r="I32" s="351"/>
      <c r="J32" s="351"/>
      <c r="K32" s="351"/>
      <c r="L32" s="352"/>
      <c r="M32" s="344">
        <f>C32+E32+G32</f>
        <v>98449.345799999996</v>
      </c>
      <c r="N32" s="348"/>
      <c r="O32" s="6"/>
    </row>
    <row r="33" spans="1:15" ht="15.6" x14ac:dyDescent="0.3">
      <c r="A33" s="340"/>
      <c r="B33" s="278" t="s">
        <v>174</v>
      </c>
      <c r="C33" s="371">
        <v>0.20487340000000001</v>
      </c>
      <c r="D33" s="372"/>
      <c r="E33" s="371">
        <v>0.74092159999999996</v>
      </c>
      <c r="F33" s="371"/>
      <c r="G33" s="371">
        <v>0.74092159999999996</v>
      </c>
      <c r="H33" s="373"/>
      <c r="I33" s="373"/>
      <c r="J33" s="351"/>
      <c r="K33" s="351"/>
      <c r="L33" s="352"/>
      <c r="M33" s="351"/>
      <c r="N33" s="348"/>
      <c r="O33" s="6"/>
    </row>
    <row r="34" spans="1:15" ht="15.6" x14ac:dyDescent="0.3">
      <c r="A34" s="340"/>
      <c r="B34" s="278" t="s">
        <v>175</v>
      </c>
      <c r="C34" s="371">
        <v>0.22187480000000001</v>
      </c>
      <c r="D34" s="372"/>
      <c r="E34" s="371">
        <v>0.74092159999999996</v>
      </c>
      <c r="F34" s="371"/>
      <c r="G34" s="371">
        <v>0.74092159999999996</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9.0562999999999998E-3</v>
      </c>
      <c r="D36" s="258"/>
      <c r="E36" s="356">
        <v>2.0056299999999999E-2</v>
      </c>
      <c r="F36" s="304"/>
      <c r="G36" s="356">
        <v>2.50563E-2</v>
      </c>
      <c r="H36" s="304"/>
      <c r="I36" s="356"/>
      <c r="J36" s="304"/>
      <c r="K36" s="356"/>
      <c r="L36" s="321"/>
      <c r="M36" s="304">
        <f>SUMPRODUCT(C36:G36,C31:G31)/M31</f>
        <v>1.5526367014057536E-2</v>
      </c>
      <c r="N36" s="264"/>
      <c r="O36" s="6"/>
    </row>
    <row r="37" spans="1:15" ht="15.6" x14ac:dyDescent="0.3">
      <c r="A37" s="307"/>
      <c r="B37" s="258" t="s">
        <v>19</v>
      </c>
      <c r="C37" s="356">
        <v>9.1000000000000004E-3</v>
      </c>
      <c r="D37" s="258"/>
      <c r="E37" s="356">
        <v>2.01E-2</v>
      </c>
      <c r="F37" s="304"/>
      <c r="G37" s="356">
        <v>2.5100000000000001E-2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1.080248798310782</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41501</v>
      </c>
      <c r="N47" s="264"/>
      <c r="O47" s="6"/>
    </row>
    <row r="48" spans="1:15" ht="15.6" x14ac:dyDescent="0.3">
      <c r="A48" s="307"/>
      <c r="B48" s="258" t="s">
        <v>26</v>
      </c>
      <c r="C48" s="258"/>
      <c r="D48" s="258"/>
      <c r="E48" s="258"/>
      <c r="F48" s="258"/>
      <c r="G48" s="258"/>
      <c r="H48" s="258"/>
      <c r="I48" s="258"/>
      <c r="J48" s="258">
        <f>M48-K48+1</f>
        <v>89</v>
      </c>
      <c r="K48" s="360">
        <v>41320</v>
      </c>
      <c r="L48" s="361"/>
      <c r="M48" s="360">
        <v>41408</v>
      </c>
      <c r="N48" s="264"/>
      <c r="O48" s="6"/>
    </row>
    <row r="49" spans="1:15" ht="15.6" x14ac:dyDescent="0.3">
      <c r="A49" s="307"/>
      <c r="B49" s="258" t="s">
        <v>27</v>
      </c>
      <c r="C49" s="258"/>
      <c r="D49" s="258"/>
      <c r="E49" s="258"/>
      <c r="F49" s="258"/>
      <c r="G49" s="258"/>
      <c r="H49" s="258"/>
      <c r="I49" s="258"/>
      <c r="J49" s="258">
        <f>M49-K49+1</f>
        <v>92</v>
      </c>
      <c r="K49" s="360">
        <v>41409</v>
      </c>
      <c r="L49" s="361"/>
      <c r="M49" s="360">
        <v>41500</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41487</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260</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102377</v>
      </c>
      <c r="F58" s="256"/>
      <c r="G58" s="256">
        <f>3685+242+1</f>
        <v>3928</v>
      </c>
      <c r="H58" s="256"/>
      <c r="I58" s="256">
        <v>0</v>
      </c>
      <c r="J58" s="256"/>
      <c r="K58" s="256">
        <v>0</v>
      </c>
      <c r="L58" s="256"/>
      <c r="M58" s="260">
        <f>E58-G58+I58-K58</f>
        <v>98449</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102377</v>
      </c>
      <c r="F62" s="256"/>
      <c r="G62" s="256">
        <f>SUM(G58:G61)</f>
        <v>3928</v>
      </c>
      <c r="H62" s="256"/>
      <c r="I62" s="256">
        <f>SUM(I58:I61)</f>
        <v>0</v>
      </c>
      <c r="J62" s="256"/>
      <c r="K62" s="256">
        <f>SUM(K58:K61)</f>
        <v>0</v>
      </c>
      <c r="L62" s="256"/>
      <c r="M62" s="256">
        <f>SUM(M58:M61)</f>
        <v>98449</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102377</v>
      </c>
      <c r="F75" s="256"/>
      <c r="G75" s="256"/>
      <c r="H75" s="256"/>
      <c r="I75" s="256"/>
      <c r="J75" s="256"/>
      <c r="K75" s="256"/>
      <c r="L75" s="256"/>
      <c r="M75" s="256">
        <f>SUM(M62:M74)</f>
        <v>98449</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41486</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3928-242</f>
        <v>3686</v>
      </c>
      <c r="L80" s="258"/>
      <c r="M80" s="260"/>
      <c r="N80" s="264"/>
      <c r="O80" s="6"/>
    </row>
    <row r="81" spans="1:16" ht="15.6" x14ac:dyDescent="0.3">
      <c r="A81" s="307"/>
      <c r="B81" s="258" t="s">
        <v>204</v>
      </c>
      <c r="C81" s="290"/>
      <c r="D81" s="325"/>
      <c r="E81" s="326"/>
      <c r="F81" s="258"/>
      <c r="G81" s="258"/>
      <c r="H81" s="258"/>
      <c r="I81" s="258"/>
      <c r="J81" s="258"/>
      <c r="K81" s="256"/>
      <c r="L81" s="258"/>
      <c r="M81" s="260">
        <f>4655+83-2272</f>
        <v>2466</v>
      </c>
      <c r="N81" s="264"/>
      <c r="O81" s="6"/>
    </row>
    <row r="82" spans="1:16" ht="15.6" x14ac:dyDescent="0.3">
      <c r="A82" s="307"/>
      <c r="B82" s="258" t="s">
        <v>205</v>
      </c>
      <c r="C82" s="290"/>
      <c r="D82" s="325"/>
      <c r="E82" s="326"/>
      <c r="F82" s="258"/>
      <c r="G82" s="258"/>
      <c r="H82" s="258"/>
      <c r="I82" s="258"/>
      <c r="J82" s="258"/>
      <c r="K82" s="256"/>
      <c r="L82" s="258"/>
      <c r="M82" s="260">
        <v>157</v>
      </c>
      <c r="N82" s="264"/>
      <c r="O82" s="6"/>
    </row>
    <row r="83" spans="1:16" ht="15.6" x14ac:dyDescent="0.3">
      <c r="A83" s="307"/>
      <c r="B83" s="258" t="s">
        <v>206</v>
      </c>
      <c r="C83" s="290"/>
      <c r="D83" s="325"/>
      <c r="E83" s="326"/>
      <c r="F83" s="258"/>
      <c r="G83" s="258"/>
      <c r="H83" s="258"/>
      <c r="I83" s="258"/>
      <c r="J83" s="258"/>
      <c r="K83" s="256"/>
      <c r="L83" s="258"/>
      <c r="M83" s="260">
        <v>21</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3686</v>
      </c>
      <c r="L85" s="258"/>
      <c r="M85" s="256">
        <f>SUM(M79:M84)</f>
        <v>2644</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3686</v>
      </c>
      <c r="L87" s="258"/>
      <c r="M87" s="256">
        <f>M85+M86</f>
        <v>2644</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-39-35-1</f>
        <v>-75</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-117</v>
      </c>
      <c r="N93" s="311"/>
      <c r="O93" s="6"/>
    </row>
    <row r="94" spans="1:16" ht="15.6" x14ac:dyDescent="0.3">
      <c r="A94" s="255">
        <v>5</v>
      </c>
      <c r="B94" s="258" t="s">
        <v>52</v>
      </c>
      <c r="C94" s="258"/>
      <c r="D94" s="258"/>
      <c r="E94" s="258"/>
      <c r="F94" s="258"/>
      <c r="G94" s="258"/>
      <c r="H94" s="258"/>
      <c r="I94" s="258"/>
      <c r="J94" s="258"/>
      <c r="K94" s="258"/>
      <c r="L94" s="258"/>
      <c r="M94" s="260">
        <v>-157</v>
      </c>
      <c r="N94" s="311"/>
      <c r="O94" s="6"/>
    </row>
    <row r="95" spans="1:16" ht="15.6" x14ac:dyDescent="0.3">
      <c r="A95" s="255">
        <v>6</v>
      </c>
      <c r="B95" s="258" t="s">
        <v>172</v>
      </c>
      <c r="C95" s="258"/>
      <c r="D95" s="258"/>
      <c r="E95" s="258"/>
      <c r="F95" s="258"/>
      <c r="G95" s="258"/>
      <c r="H95" s="258"/>
      <c r="I95" s="258"/>
      <c r="J95" s="258"/>
      <c r="K95" s="258"/>
      <c r="L95" s="258"/>
      <c r="M95" s="260">
        <v>-126</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242</v>
      </c>
      <c r="L97" s="258"/>
      <c r="M97" s="260">
        <v>-242</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-38</v>
      </c>
      <c r="N101" s="311"/>
      <c r="O101" s="6"/>
    </row>
    <row r="102" spans="1:16" ht="15.6" x14ac:dyDescent="0.3">
      <c r="A102" s="255">
        <v>13</v>
      </c>
      <c r="B102" s="258" t="s">
        <v>195</v>
      </c>
      <c r="C102" s="258"/>
      <c r="D102" s="258"/>
      <c r="E102" s="258"/>
      <c r="F102" s="258"/>
      <c r="G102" s="258"/>
      <c r="H102" s="258"/>
      <c r="I102" s="258"/>
      <c r="J102" s="258"/>
      <c r="K102" s="258"/>
      <c r="L102" s="258"/>
      <c r="M102" s="260">
        <f>-M87-SUM(M89:M101)</f>
        <v>-1880</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-3928</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+K105+K106+K107+K108+K109</f>
        <v>-3928</v>
      </c>
      <c r="L110" s="256"/>
      <c r="M110" s="256">
        <f>SUM(M88:M109)</f>
        <v>-2644</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JULY 2013</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-191</v>
      </c>
      <c r="N139" s="264"/>
      <c r="O139" s="6"/>
    </row>
    <row r="140" spans="1:15" ht="15.6" x14ac:dyDescent="0.3">
      <c r="A140" s="307"/>
      <c r="B140" s="258" t="s">
        <v>180</v>
      </c>
      <c r="C140" s="258"/>
      <c r="D140" s="258"/>
      <c r="E140" s="258"/>
      <c r="F140" s="258"/>
      <c r="G140" s="258"/>
      <c r="H140" s="258"/>
      <c r="I140" s="258"/>
      <c r="J140" s="258"/>
      <c r="K140" s="258"/>
      <c r="L140" s="258"/>
      <c r="M140" s="260">
        <f>420+13</f>
        <v>433</v>
      </c>
      <c r="N140" s="264"/>
      <c r="O140" s="6"/>
    </row>
    <row r="141" spans="1:15" ht="15.6" x14ac:dyDescent="0.3">
      <c r="A141" s="307"/>
      <c r="B141" s="258" t="s">
        <v>77</v>
      </c>
      <c r="C141" s="258"/>
      <c r="D141" s="258"/>
      <c r="E141" s="258"/>
      <c r="F141" s="258"/>
      <c r="G141" s="258"/>
      <c r="H141" s="258"/>
      <c r="I141" s="258"/>
      <c r="J141" s="258"/>
      <c r="K141" s="258"/>
      <c r="L141" s="258"/>
      <c r="M141" s="260">
        <f>M139+M138+M140</f>
        <v>242</v>
      </c>
      <c r="N141" s="264"/>
      <c r="O141" s="6"/>
    </row>
    <row r="142" spans="1:15" ht="15.6" x14ac:dyDescent="0.3">
      <c r="A142" s="307"/>
      <c r="B142" s="258" t="s">
        <v>183</v>
      </c>
      <c r="C142" s="258"/>
      <c r="D142" s="258"/>
      <c r="E142" s="258"/>
      <c r="F142" s="258"/>
      <c r="G142" s="258"/>
      <c r="H142" s="258"/>
      <c r="I142" s="303"/>
      <c r="J142" s="258"/>
      <c r="K142" s="258"/>
      <c r="L142" s="258"/>
      <c r="M142" s="260">
        <f>M97</f>
        <v>-242</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98449</v>
      </c>
      <c r="N148" s="318"/>
      <c r="O148" s="6"/>
      <c r="P148" s="117"/>
    </row>
    <row r="149" spans="1:16" ht="15.6" x14ac:dyDescent="0.3">
      <c r="A149" s="307"/>
      <c r="B149" s="258" t="s">
        <v>80</v>
      </c>
      <c r="C149" s="319"/>
      <c r="D149" s="319"/>
      <c r="E149" s="258"/>
      <c r="F149" s="258"/>
      <c r="G149" s="258"/>
      <c r="H149" s="258"/>
      <c r="I149" s="258"/>
      <c r="J149" s="258"/>
      <c r="K149" s="258"/>
      <c r="L149" s="258"/>
      <c r="M149" s="260">
        <f>M75</f>
        <v>98449</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+'April 13'!I156</f>
        <v>7636</v>
      </c>
      <c r="J154" s="258"/>
      <c r="K154" s="260">
        <f>+'April 13'!K156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21.94017094017094</v>
      </c>
      <c r="N161" s="264" t="s">
        <v>145</v>
      </c>
      <c r="O161" s="6"/>
    </row>
    <row r="162" spans="1:15" ht="15.6" x14ac:dyDescent="0.3">
      <c r="A162" s="307"/>
      <c r="B162" s="258" t="s">
        <v>89</v>
      </c>
      <c r="C162" s="258"/>
      <c r="D162" s="258"/>
      <c r="E162" s="258"/>
      <c r="F162" s="258"/>
      <c r="G162" s="258"/>
      <c r="H162" s="258"/>
      <c r="I162" s="258"/>
      <c r="J162" s="258"/>
      <c r="K162" s="258"/>
      <c r="L162" s="258"/>
      <c r="M162" s="309">
        <v>3.44</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15.605095541401274</v>
      </c>
      <c r="N163" s="264" t="s">
        <v>145</v>
      </c>
      <c r="O163" s="6"/>
    </row>
    <row r="164" spans="1:15" ht="15.6" x14ac:dyDescent="0.3">
      <c r="A164" s="307"/>
      <c r="B164" s="258" t="s">
        <v>91</v>
      </c>
      <c r="C164" s="258"/>
      <c r="D164" s="258"/>
      <c r="E164" s="258"/>
      <c r="F164" s="258"/>
      <c r="G164" s="258"/>
      <c r="H164" s="258"/>
      <c r="I164" s="258"/>
      <c r="J164" s="258"/>
      <c r="K164" s="258"/>
      <c r="L164" s="258"/>
      <c r="M164" s="310">
        <v>9.59</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18.198412698412699</v>
      </c>
      <c r="N165" s="264" t="s">
        <v>145</v>
      </c>
      <c r="O165" s="6"/>
    </row>
    <row r="166" spans="1:15" ht="15.6" x14ac:dyDescent="0.3">
      <c r="A166" s="307"/>
      <c r="B166" s="258" t="s">
        <v>182</v>
      </c>
      <c r="C166" s="258"/>
      <c r="D166" s="258"/>
      <c r="E166" s="258"/>
      <c r="F166" s="258"/>
      <c r="G166" s="258"/>
      <c r="H166" s="258"/>
      <c r="I166" s="258"/>
      <c r="J166" s="258"/>
      <c r="K166" s="258"/>
      <c r="L166" s="258"/>
      <c r="M166" s="310">
        <v>12.32</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JULY 2013</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41486</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9.5500000000000002E-2</v>
      </c>
      <c r="L176" s="258"/>
      <c r="M176" s="258"/>
      <c r="N176" s="264"/>
      <c r="O176" s="6"/>
    </row>
    <row r="177" spans="1:15" ht="15.6" x14ac:dyDescent="0.3">
      <c r="A177" s="301"/>
      <c r="B177" s="258" t="s">
        <v>97</v>
      </c>
      <c r="C177" s="302"/>
      <c r="D177" s="302"/>
      <c r="E177" s="302"/>
      <c r="F177" s="302"/>
      <c r="G177" s="302"/>
      <c r="H177" s="303"/>
      <c r="I177" s="303"/>
      <c r="J177" s="303"/>
      <c r="K177" s="304">
        <f>M36</f>
        <v>1.5526367014057536E-2</v>
      </c>
      <c r="L177" s="258"/>
      <c r="M177" s="258"/>
      <c r="N177" s="264"/>
      <c r="O177" s="6"/>
    </row>
    <row r="178" spans="1:15" ht="15.6" x14ac:dyDescent="0.3">
      <c r="A178" s="301"/>
      <c r="B178" s="258" t="s">
        <v>98</v>
      </c>
      <c r="C178" s="302"/>
      <c r="D178" s="302"/>
      <c r="E178" s="302"/>
      <c r="F178" s="302"/>
      <c r="G178" s="302"/>
      <c r="H178" s="303"/>
      <c r="I178" s="303"/>
      <c r="J178" s="303"/>
      <c r="K178" s="304">
        <f>K176-K177</f>
        <v>7.9973632985942469E-2</v>
      </c>
      <c r="L178" s="258"/>
      <c r="M178" s="258"/>
      <c r="N178" s="264"/>
      <c r="O178" s="6"/>
    </row>
    <row r="179" spans="1:15" ht="15.6" x14ac:dyDescent="0.3">
      <c r="A179" s="301"/>
      <c r="B179" s="258" t="s">
        <v>211</v>
      </c>
      <c r="C179" s="302"/>
      <c r="D179" s="302"/>
      <c r="E179" s="302"/>
      <c r="F179" s="302"/>
      <c r="G179" s="302"/>
      <c r="H179" s="303"/>
      <c r="I179" s="303"/>
      <c r="J179" s="303"/>
      <c r="K179" s="304">
        <f>(+M87+M89)/E58</f>
        <v>2.582611328716411E-2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12.27</v>
      </c>
      <c r="L184" s="258" t="s">
        <v>139</v>
      </c>
      <c r="M184" s="258"/>
      <c r="N184" s="264"/>
      <c r="O184" s="6"/>
    </row>
    <row r="185" spans="1:15" ht="15.6" x14ac:dyDescent="0.3">
      <c r="A185" s="301"/>
      <c r="B185" s="258" t="s">
        <v>103</v>
      </c>
      <c r="C185" s="302"/>
      <c r="D185" s="302"/>
      <c r="E185" s="302"/>
      <c r="F185" s="302"/>
      <c r="G185" s="302"/>
      <c r="H185" s="303"/>
      <c r="I185" s="303"/>
      <c r="J185" s="303"/>
      <c r="K185" s="304">
        <f>K80/E58</f>
        <v>3.6004180626507905E-2</v>
      </c>
      <c r="L185" s="258"/>
      <c r="M185" s="258"/>
      <c r="N185" s="264"/>
      <c r="O185" s="6"/>
    </row>
    <row r="186" spans="1:15" ht="15.6" x14ac:dyDescent="0.3">
      <c r="A186" s="301"/>
      <c r="B186" s="258" t="s">
        <v>104</v>
      </c>
      <c r="C186" s="302"/>
      <c r="D186" s="302"/>
      <c r="E186" s="302"/>
      <c r="F186" s="302"/>
      <c r="G186" s="302"/>
      <c r="H186" s="303"/>
      <c r="I186" s="303"/>
      <c r="J186" s="303"/>
      <c r="K186" s="304">
        <v>0.24379999999999999</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713</v>
      </c>
      <c r="K189" s="369">
        <v>16449</v>
      </c>
      <c r="L189" s="217"/>
      <c r="M189" s="229"/>
      <c r="N189" s="230"/>
      <c r="O189" s="6"/>
    </row>
    <row r="190" spans="1:15" ht="15.6" x14ac:dyDescent="0.3">
      <c r="A190" s="275"/>
      <c r="B190" s="258" t="s">
        <v>196</v>
      </c>
      <c r="C190" s="256"/>
      <c r="D190" s="256"/>
      <c r="E190" s="256"/>
      <c r="F190" s="256"/>
      <c r="G190" s="258"/>
      <c r="H190" s="258"/>
      <c r="I190" s="258"/>
      <c r="J190" s="276">
        <v>0</v>
      </c>
      <c r="K190" s="277">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242</v>
      </c>
      <c r="L194" s="258"/>
      <c r="M194" s="281"/>
      <c r="N194" s="286"/>
      <c r="O194" s="6"/>
    </row>
    <row r="195" spans="1:15" ht="15.6" x14ac:dyDescent="0.3">
      <c r="A195" s="275"/>
      <c r="B195" s="258" t="s">
        <v>111</v>
      </c>
      <c r="C195" s="256"/>
      <c r="D195" s="256"/>
      <c r="E195" s="256"/>
      <c r="F195" s="256"/>
      <c r="G195" s="256"/>
      <c r="H195" s="258"/>
      <c r="I195" s="258"/>
      <c r="J195" s="258"/>
      <c r="K195" s="375">
        <f>'April 13'!K195+'July 13'!K194</f>
        <v>33757</v>
      </c>
      <c r="L195" s="258"/>
      <c r="M195" s="281"/>
      <c r="N195" s="286"/>
      <c r="O195" s="6"/>
    </row>
    <row r="196" spans="1:15" ht="15.6" x14ac:dyDescent="0.3">
      <c r="A196" s="275"/>
      <c r="B196" s="258" t="s">
        <v>112</v>
      </c>
      <c r="C196" s="256"/>
      <c r="D196" s="256"/>
      <c r="E196" s="256"/>
      <c r="F196" s="256"/>
      <c r="G196" s="256"/>
      <c r="H196" s="258"/>
      <c r="I196" s="258"/>
      <c r="J196" s="258"/>
      <c r="K196" s="375">
        <f>'April 13'!K196+622</f>
        <v>10193</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277">
        <v>1</v>
      </c>
      <c r="L198" s="258"/>
      <c r="M198" s="261"/>
      <c r="N198" s="286"/>
      <c r="O198" s="6"/>
    </row>
    <row r="199" spans="1:15" ht="15.6" x14ac:dyDescent="0.3">
      <c r="A199" s="275"/>
      <c r="B199" s="258" t="s">
        <v>113</v>
      </c>
      <c r="C199" s="256"/>
      <c r="D199" s="256"/>
      <c r="E199" s="290"/>
      <c r="F199" s="290"/>
      <c r="G199" s="291"/>
      <c r="H199" s="258"/>
      <c r="I199" s="258"/>
      <c r="J199" s="258"/>
      <c r="K199" s="292">
        <v>15.54</v>
      </c>
      <c r="L199" s="258"/>
      <c r="M199" s="261"/>
      <c r="N199" s="286"/>
      <c r="O199" s="6"/>
    </row>
    <row r="200" spans="1:15" ht="15.6" x14ac:dyDescent="0.3">
      <c r="A200" s="275"/>
      <c r="B200" s="258" t="s">
        <v>114</v>
      </c>
      <c r="C200" s="256"/>
      <c r="D200" s="256"/>
      <c r="E200" s="290"/>
      <c r="F200" s="290"/>
      <c r="G200" s="291"/>
      <c r="H200" s="258"/>
      <c r="I200" s="258"/>
      <c r="J200" s="258"/>
      <c r="K200" s="292">
        <v>7.31</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3834</v>
      </c>
      <c r="J205" s="232">
        <f>I205/I213</f>
        <v>0.84319331427314714</v>
      </c>
      <c r="K205" s="221">
        <v>82000</v>
      </c>
      <c r="L205" s="232">
        <f>K205/K213</f>
        <v>0.8329185669737631</v>
      </c>
      <c r="M205" s="228"/>
      <c r="N205" s="218"/>
      <c r="O205" s="6"/>
    </row>
    <row r="206" spans="1:15" ht="15.6" x14ac:dyDescent="0.3">
      <c r="A206" s="255"/>
      <c r="B206" s="256" t="s">
        <v>117</v>
      </c>
      <c r="C206" s="257"/>
      <c r="D206" s="257"/>
      <c r="E206" s="256"/>
      <c r="F206" s="257"/>
      <c r="G206" s="258"/>
      <c r="H206" s="259"/>
      <c r="I206" s="256">
        <v>163</v>
      </c>
      <c r="J206" s="259">
        <f>I206/I213</f>
        <v>3.5847811744007037E-2</v>
      </c>
      <c r="K206" s="260">
        <v>3149</v>
      </c>
      <c r="L206" s="259">
        <f>K206/K213</f>
        <v>3.1986104480492439E-2</v>
      </c>
      <c r="M206" s="261"/>
      <c r="N206" s="263"/>
      <c r="O206" s="6"/>
    </row>
    <row r="207" spans="1:15" ht="15.6" x14ac:dyDescent="0.3">
      <c r="A207" s="255"/>
      <c r="B207" s="256" t="s">
        <v>118</v>
      </c>
      <c r="C207" s="257"/>
      <c r="D207" s="257"/>
      <c r="E207" s="256"/>
      <c r="F207" s="257"/>
      <c r="G207" s="256"/>
      <c r="H207" s="259"/>
      <c r="I207" s="256">
        <v>106</v>
      </c>
      <c r="J207" s="259">
        <f>I207/I213</f>
        <v>2.3312073894875742E-2</v>
      </c>
      <c r="K207" s="260">
        <v>2219</v>
      </c>
      <c r="L207" s="259">
        <f>K207/K213</f>
        <v>2.2539589025790004E-2</v>
      </c>
      <c r="M207" s="374"/>
      <c r="N207" s="263"/>
      <c r="O207" s="6"/>
    </row>
    <row r="208" spans="1:15" ht="15.6" x14ac:dyDescent="0.3">
      <c r="A208" s="255"/>
      <c r="B208" s="256" t="s">
        <v>167</v>
      </c>
      <c r="C208" s="257"/>
      <c r="D208" s="257"/>
      <c r="E208" s="256"/>
      <c r="F208" s="257"/>
      <c r="G208" s="256"/>
      <c r="H208" s="259"/>
      <c r="I208" s="256">
        <v>84</v>
      </c>
      <c r="J208" s="259">
        <f>I208/I213</f>
        <v>1.8473718935561909E-2</v>
      </c>
      <c r="K208" s="260">
        <v>1856</v>
      </c>
      <c r="L208" s="259">
        <f>K208/K213</f>
        <v>1.8852400735406151E-2</v>
      </c>
      <c r="M208" s="374"/>
      <c r="N208" s="263"/>
      <c r="O208" s="6"/>
    </row>
    <row r="209" spans="1:15" ht="15.6" x14ac:dyDescent="0.3">
      <c r="A209" s="255"/>
      <c r="B209" s="256" t="s">
        <v>168</v>
      </c>
      <c r="C209" s="257"/>
      <c r="D209" s="257"/>
      <c r="E209" s="256"/>
      <c r="F209" s="257"/>
      <c r="G209" s="258"/>
      <c r="H209" s="259"/>
      <c r="I209" s="256">
        <v>68</v>
      </c>
      <c r="J209" s="259">
        <f>I209/I213</f>
        <v>1.4954915328788213E-2</v>
      </c>
      <c r="K209" s="260">
        <v>1430</v>
      </c>
      <c r="L209" s="259">
        <f>K209/K213</f>
        <v>1.4525287204542454E-2</v>
      </c>
      <c r="M209" s="374"/>
      <c r="N209" s="262"/>
      <c r="O209" s="6"/>
    </row>
    <row r="210" spans="1:15" ht="15.6" x14ac:dyDescent="0.3">
      <c r="A210" s="255"/>
      <c r="B210" s="256" t="s">
        <v>169</v>
      </c>
      <c r="C210" s="257"/>
      <c r="D210" s="257"/>
      <c r="E210" s="256"/>
      <c r="F210" s="257"/>
      <c r="G210" s="258"/>
      <c r="H210" s="259"/>
      <c r="I210" s="256">
        <v>53</v>
      </c>
      <c r="J210" s="259">
        <f>I210/I213</f>
        <v>1.1656036947437871E-2</v>
      </c>
      <c r="K210" s="260">
        <v>1350</v>
      </c>
      <c r="L210" s="259">
        <f>K210/K213</f>
        <v>1.3712683724568051E-2</v>
      </c>
      <c r="M210" s="374"/>
      <c r="N210" s="262"/>
      <c r="O210" s="6"/>
    </row>
    <row r="211" spans="1:15" ht="15.6" x14ac:dyDescent="0.3">
      <c r="A211" s="255"/>
      <c r="B211" s="256" t="s">
        <v>176</v>
      </c>
      <c r="C211" s="257"/>
      <c r="D211" s="257"/>
      <c r="E211" s="256"/>
      <c r="F211" s="257"/>
      <c r="G211" s="258"/>
      <c r="H211" s="259"/>
      <c r="I211" s="256">
        <v>146</v>
      </c>
      <c r="J211" s="259">
        <f>I211/I213</f>
        <v>3.2109082911809986E-2</v>
      </c>
      <c r="K211" s="260">
        <v>3833</v>
      </c>
      <c r="L211" s="259">
        <f>K211/K213</f>
        <v>3.8933864234273585E-2</v>
      </c>
      <c r="M211" s="261"/>
      <c r="N211" s="263"/>
      <c r="O211" s="6"/>
    </row>
    <row r="212" spans="1:15" ht="15.6" x14ac:dyDescent="0.3">
      <c r="A212" s="255"/>
      <c r="B212" s="256" t="s">
        <v>202</v>
      </c>
      <c r="C212" s="257"/>
      <c r="D212" s="257"/>
      <c r="E212" s="256"/>
      <c r="F212" s="257"/>
      <c r="G212" s="258"/>
      <c r="H212" s="259"/>
      <c r="I212" s="256">
        <v>93</v>
      </c>
      <c r="J212" s="259">
        <f>+I212/I213</f>
        <v>2.0453045964372113E-2</v>
      </c>
      <c r="K212" s="260">
        <v>2612</v>
      </c>
      <c r="L212" s="259">
        <f>+K212/K213</f>
        <v>2.6531503621164257E-2</v>
      </c>
      <c r="M212" s="261"/>
      <c r="N212" s="263"/>
      <c r="O212" s="6"/>
    </row>
    <row r="213" spans="1:15" ht="15.6" x14ac:dyDescent="0.3">
      <c r="A213" s="255"/>
      <c r="B213" s="258" t="s">
        <v>189</v>
      </c>
      <c r="C213" s="258"/>
      <c r="D213" s="258"/>
      <c r="E213" s="258"/>
      <c r="F213" s="258"/>
      <c r="G213" s="256"/>
      <c r="H213" s="258"/>
      <c r="I213" s="256">
        <f>SUM(I205:I212)</f>
        <v>4547</v>
      </c>
      <c r="J213" s="259">
        <f>SUM(J205:J212)</f>
        <v>1.0000000000000002</v>
      </c>
      <c r="K213" s="260">
        <f>SUM(K205:K212)</f>
        <v>98449</v>
      </c>
      <c r="L213" s="259">
        <f>SUM(L205:L212)</f>
        <v>1</v>
      </c>
      <c r="M213" s="258"/>
      <c r="N213" s="264"/>
      <c r="O213" s="6"/>
    </row>
    <row r="214" spans="1:15" ht="15.6" x14ac:dyDescent="0.3">
      <c r="A214" s="255"/>
      <c r="B214" s="256" t="s">
        <v>170</v>
      </c>
      <c r="C214" s="257"/>
      <c r="D214" s="257"/>
      <c r="E214" s="256"/>
      <c r="F214" s="257"/>
      <c r="G214" s="256"/>
      <c r="H214" s="259"/>
      <c r="I214" s="256">
        <v>272</v>
      </c>
      <c r="J214" s="259"/>
      <c r="K214" s="260">
        <v>7555</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1.1478999999999999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JULY 2013</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100-000000000000}"/>
    <hyperlink ref="K202" r:id="rId2" xr:uid="{00000000-0004-0000-21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89CB31"/>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41599</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47325.755400000002</v>
      </c>
      <c r="D31" s="345"/>
      <c r="E31" s="344">
        <f>E30*E34</f>
        <v>31118.707199999997</v>
      </c>
      <c r="F31" s="344"/>
      <c r="G31" s="344">
        <f>G30*G34</f>
        <v>20004.8832</v>
      </c>
      <c r="H31" s="346"/>
      <c r="I31" s="346"/>
      <c r="J31" s="346"/>
      <c r="K31" s="346"/>
      <c r="L31" s="347"/>
      <c r="M31" s="344">
        <f>C31+E31+G31</f>
        <v>98449.345799999996</v>
      </c>
      <c r="N31" s="348"/>
      <c r="O31" s="6"/>
    </row>
    <row r="32" spans="1:15" ht="15.6" x14ac:dyDescent="0.3">
      <c r="A32" s="340"/>
      <c r="B32" s="319" t="s">
        <v>16</v>
      </c>
      <c r="C32" s="349">
        <f>C30*C33</f>
        <v>43211.830200000004</v>
      </c>
      <c r="D32" s="350"/>
      <c r="E32" s="349">
        <f>E30*E33</f>
        <v>31118.707199999997</v>
      </c>
      <c r="F32" s="349"/>
      <c r="G32" s="349">
        <f>G30*G33</f>
        <v>20004.8832</v>
      </c>
      <c r="H32" s="351"/>
      <c r="I32" s="351"/>
      <c r="J32" s="351"/>
      <c r="K32" s="351"/>
      <c r="L32" s="352"/>
      <c r="M32" s="344">
        <f>C32+E32+G32</f>
        <v>94335.420599999998</v>
      </c>
      <c r="N32" s="348"/>
      <c r="O32" s="6"/>
    </row>
    <row r="33" spans="1:15" ht="15.6" x14ac:dyDescent="0.3">
      <c r="A33" s="340"/>
      <c r="B33" s="278" t="s">
        <v>174</v>
      </c>
      <c r="C33" s="371">
        <v>0.18706420000000001</v>
      </c>
      <c r="D33" s="372"/>
      <c r="E33" s="371">
        <v>0.74092159999999996</v>
      </c>
      <c r="F33" s="371"/>
      <c r="G33" s="371">
        <v>0.74092159999999996</v>
      </c>
      <c r="H33" s="373"/>
      <c r="I33" s="373"/>
      <c r="J33" s="351"/>
      <c r="K33" s="351"/>
      <c r="L33" s="352"/>
      <c r="M33" s="351"/>
      <c r="N33" s="348"/>
      <c r="O33" s="6"/>
    </row>
    <row r="34" spans="1:15" ht="15.6" x14ac:dyDescent="0.3">
      <c r="A34" s="340"/>
      <c r="B34" s="278" t="s">
        <v>175</v>
      </c>
      <c r="C34" s="371">
        <v>0.20487340000000001</v>
      </c>
      <c r="D34" s="372"/>
      <c r="E34" s="371">
        <v>0.74092159999999996</v>
      </c>
      <c r="F34" s="371"/>
      <c r="G34" s="371">
        <v>0.74092159999999996</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9.1249999999999994E-3</v>
      </c>
      <c r="D36" s="258"/>
      <c r="E36" s="356">
        <v>2.0125000000000001E-2</v>
      </c>
      <c r="F36" s="304"/>
      <c r="G36" s="356">
        <v>2.5125000000000001E-2</v>
      </c>
      <c r="H36" s="304"/>
      <c r="I36" s="356"/>
      <c r="J36" s="304"/>
      <c r="K36" s="356"/>
      <c r="L36" s="321"/>
      <c r="M36" s="304">
        <f>SUMPRODUCT(C36:G36,C31:G31)/M31</f>
        <v>1.5853169750824288E-2</v>
      </c>
      <c r="N36" s="264"/>
      <c r="O36" s="6"/>
    </row>
    <row r="37" spans="1:15" ht="15.6" x14ac:dyDescent="0.3">
      <c r="A37" s="307"/>
      <c r="B37" s="258" t="s">
        <v>19</v>
      </c>
      <c r="C37" s="356">
        <v>9.0562999999999998E-3</v>
      </c>
      <c r="D37" s="258"/>
      <c r="E37" s="356">
        <v>2.0056299999999999E-2</v>
      </c>
      <c r="F37" s="304"/>
      <c r="G37" s="356">
        <v>2.50563E-2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1.183092457861227</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41593</v>
      </c>
      <c r="N47" s="264"/>
      <c r="O47" s="6"/>
    </row>
    <row r="48" spans="1:15" ht="15.6" x14ac:dyDescent="0.3">
      <c r="A48" s="307"/>
      <c r="B48" s="258" t="s">
        <v>26</v>
      </c>
      <c r="C48" s="258"/>
      <c r="D48" s="258"/>
      <c r="E48" s="258"/>
      <c r="F48" s="258"/>
      <c r="G48" s="258"/>
      <c r="H48" s="258"/>
      <c r="I48" s="258"/>
      <c r="J48" s="258">
        <f>M48-K48+1</f>
        <v>92</v>
      </c>
      <c r="K48" s="360">
        <v>41409</v>
      </c>
      <c r="L48" s="361"/>
      <c r="M48" s="360">
        <v>41500</v>
      </c>
      <c r="N48" s="264"/>
      <c r="O48" s="6"/>
    </row>
    <row r="49" spans="1:15" ht="15.6" x14ac:dyDescent="0.3">
      <c r="A49" s="307"/>
      <c r="B49" s="258" t="s">
        <v>27</v>
      </c>
      <c r="C49" s="258"/>
      <c r="D49" s="258"/>
      <c r="E49" s="258"/>
      <c r="F49" s="258"/>
      <c r="G49" s="258"/>
      <c r="H49" s="258"/>
      <c r="I49" s="258"/>
      <c r="J49" s="258">
        <f>M49-K49+1</f>
        <v>92</v>
      </c>
      <c r="K49" s="360">
        <v>41501</v>
      </c>
      <c r="L49" s="361"/>
      <c r="M49" s="360">
        <v>41592</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41579</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264</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98449</v>
      </c>
      <c r="F58" s="256"/>
      <c r="G58" s="256">
        <f>3680+434</f>
        <v>4114</v>
      </c>
      <c r="H58" s="256"/>
      <c r="I58" s="256">
        <v>0</v>
      </c>
      <c r="J58" s="256"/>
      <c r="K58" s="256">
        <v>0</v>
      </c>
      <c r="L58" s="256"/>
      <c r="M58" s="260">
        <f>E58-G58+I58-K58</f>
        <v>94335</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98449</v>
      </c>
      <c r="F62" s="256"/>
      <c r="G62" s="256">
        <f>SUM(G58:G61)</f>
        <v>4114</v>
      </c>
      <c r="H62" s="256"/>
      <c r="I62" s="256">
        <f>SUM(I58:I61)</f>
        <v>0</v>
      </c>
      <c r="J62" s="256"/>
      <c r="K62" s="256">
        <f>SUM(K58:K61)</f>
        <v>0</v>
      </c>
      <c r="L62" s="256"/>
      <c r="M62" s="256">
        <f>SUM(M58:M61)</f>
        <v>94335</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98449</v>
      </c>
      <c r="F75" s="256"/>
      <c r="G75" s="256"/>
      <c r="H75" s="256"/>
      <c r="I75" s="256"/>
      <c r="J75" s="256"/>
      <c r="K75" s="256"/>
      <c r="L75" s="256"/>
      <c r="M75" s="256">
        <f>SUM(M62:M74)</f>
        <v>94335</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41578</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4114-434</f>
        <v>3680</v>
      </c>
      <c r="L80" s="258"/>
      <c r="M80" s="260"/>
      <c r="N80" s="264"/>
      <c r="O80" s="6"/>
    </row>
    <row r="81" spans="1:16" ht="15.6" x14ac:dyDescent="0.3">
      <c r="A81" s="307"/>
      <c r="B81" s="258" t="s">
        <v>204</v>
      </c>
      <c r="C81" s="290"/>
      <c r="D81" s="325"/>
      <c r="E81" s="326"/>
      <c r="F81" s="258"/>
      <c r="G81" s="258"/>
      <c r="H81" s="258"/>
      <c r="I81" s="258"/>
      <c r="J81" s="258"/>
      <c r="K81" s="256"/>
      <c r="L81" s="258"/>
      <c r="M81" s="260">
        <f>4466+23-2118</f>
        <v>2371</v>
      </c>
      <c r="N81" s="264"/>
      <c r="O81" s="6"/>
    </row>
    <row r="82" spans="1:16" ht="15.6" x14ac:dyDescent="0.3">
      <c r="A82" s="307"/>
      <c r="B82" s="258" t="s">
        <v>205</v>
      </c>
      <c r="C82" s="290"/>
      <c r="D82" s="325"/>
      <c r="E82" s="326"/>
      <c r="F82" s="258"/>
      <c r="G82" s="258"/>
      <c r="H82" s="258"/>
      <c r="I82" s="258"/>
      <c r="J82" s="258"/>
      <c r="K82" s="256"/>
      <c r="L82" s="258"/>
      <c r="M82" s="260">
        <v>152</v>
      </c>
      <c r="N82" s="264"/>
      <c r="O82" s="6"/>
    </row>
    <row r="83" spans="1:16" ht="15.6" x14ac:dyDescent="0.3">
      <c r="A83" s="307"/>
      <c r="B83" s="258" t="s">
        <v>206</v>
      </c>
      <c r="C83" s="290"/>
      <c r="D83" s="325"/>
      <c r="E83" s="326"/>
      <c r="F83" s="258"/>
      <c r="G83" s="258"/>
      <c r="H83" s="258"/>
      <c r="I83" s="258"/>
      <c r="J83" s="258"/>
      <c r="K83" s="256"/>
      <c r="L83" s="258"/>
      <c r="M83" s="260">
        <v>21</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3680</v>
      </c>
      <c r="L85" s="258"/>
      <c r="M85" s="256">
        <f>SUM(M79:M84)</f>
        <v>2544</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3680</v>
      </c>
      <c r="L87" s="258"/>
      <c r="M87" s="256">
        <f>M85+M86</f>
        <v>2544</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-37-41-1</f>
        <v>-79</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-109</v>
      </c>
      <c r="N93" s="311"/>
      <c r="O93" s="6"/>
    </row>
    <row r="94" spans="1:16" ht="15.6" x14ac:dyDescent="0.3">
      <c r="A94" s="255">
        <v>5</v>
      </c>
      <c r="B94" s="258" t="s">
        <v>52</v>
      </c>
      <c r="C94" s="258"/>
      <c r="D94" s="258"/>
      <c r="E94" s="258"/>
      <c r="F94" s="258"/>
      <c r="G94" s="258"/>
      <c r="H94" s="258"/>
      <c r="I94" s="258"/>
      <c r="J94" s="258"/>
      <c r="K94" s="258"/>
      <c r="L94" s="258"/>
      <c r="M94" s="260">
        <v>-158</v>
      </c>
      <c r="N94" s="311"/>
      <c r="O94" s="6"/>
    </row>
    <row r="95" spans="1:16" ht="15.6" x14ac:dyDescent="0.3">
      <c r="A95" s="255">
        <v>6</v>
      </c>
      <c r="B95" s="258" t="s">
        <v>172</v>
      </c>
      <c r="C95" s="258"/>
      <c r="D95" s="258"/>
      <c r="E95" s="258"/>
      <c r="F95" s="258"/>
      <c r="G95" s="258"/>
      <c r="H95" s="258"/>
      <c r="I95" s="258"/>
      <c r="J95" s="258"/>
      <c r="K95" s="258"/>
      <c r="L95" s="258"/>
      <c r="M95" s="260">
        <v>-127</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434</v>
      </c>
      <c r="L97" s="258"/>
      <c r="M97" s="260">
        <v>-434</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-37</v>
      </c>
      <c r="N101" s="311"/>
      <c r="O101" s="6"/>
    </row>
    <row r="102" spans="1:16" ht="15.6" x14ac:dyDescent="0.3">
      <c r="A102" s="255">
        <v>13</v>
      </c>
      <c r="B102" s="258" t="s">
        <v>195</v>
      </c>
      <c r="C102" s="258"/>
      <c r="D102" s="258"/>
      <c r="E102" s="258"/>
      <c r="F102" s="258"/>
      <c r="G102" s="258"/>
      <c r="H102" s="258"/>
      <c r="I102" s="258"/>
      <c r="J102" s="258"/>
      <c r="K102" s="258"/>
      <c r="L102" s="258"/>
      <c r="M102" s="260">
        <f>-M87-SUM(M89:M101)</f>
        <v>-1591</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-4114</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+K105+K106+K107+K108+K109</f>
        <v>-4114</v>
      </c>
      <c r="L110" s="256"/>
      <c r="M110" s="256">
        <f>SUM(M88:M109)</f>
        <v>-2544</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OCTOBER 2013</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9</v>
      </c>
      <c r="N139" s="264"/>
      <c r="O139" s="6"/>
    </row>
    <row r="140" spans="1:15" ht="15.6" x14ac:dyDescent="0.3">
      <c r="A140" s="307"/>
      <c r="B140" s="258" t="s">
        <v>180</v>
      </c>
      <c r="C140" s="258"/>
      <c r="D140" s="258"/>
      <c r="E140" s="258"/>
      <c r="F140" s="258"/>
      <c r="G140" s="258"/>
      <c r="H140" s="258"/>
      <c r="I140" s="258"/>
      <c r="J140" s="258"/>
      <c r="K140" s="258"/>
      <c r="L140" s="258"/>
      <c r="M140" s="260">
        <f>528-103</f>
        <v>425</v>
      </c>
      <c r="N140" s="264"/>
      <c r="O140" s="6"/>
    </row>
    <row r="141" spans="1:15" ht="15.6" x14ac:dyDescent="0.3">
      <c r="A141" s="307"/>
      <c r="B141" s="258" t="s">
        <v>77</v>
      </c>
      <c r="C141" s="258"/>
      <c r="D141" s="258"/>
      <c r="E141" s="258"/>
      <c r="F141" s="258"/>
      <c r="G141" s="258"/>
      <c r="H141" s="258"/>
      <c r="I141" s="258"/>
      <c r="J141" s="258"/>
      <c r="K141" s="258"/>
      <c r="L141" s="258"/>
      <c r="M141" s="260">
        <f>M139+M138+M140</f>
        <v>434</v>
      </c>
      <c r="N141" s="264"/>
      <c r="O141" s="6"/>
    </row>
    <row r="142" spans="1:15" ht="15.6" x14ac:dyDescent="0.3">
      <c r="A142" s="307"/>
      <c r="B142" s="258" t="s">
        <v>183</v>
      </c>
      <c r="C142" s="258"/>
      <c r="D142" s="258"/>
      <c r="E142" s="258"/>
      <c r="F142" s="258"/>
      <c r="G142" s="258"/>
      <c r="H142" s="258"/>
      <c r="I142" s="303"/>
      <c r="J142" s="258"/>
      <c r="K142" s="258"/>
      <c r="L142" s="258"/>
      <c r="M142" s="260">
        <f>M97</f>
        <v>-434</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94335</v>
      </c>
      <c r="N148" s="318"/>
      <c r="O148" s="6"/>
      <c r="P148" s="117"/>
    </row>
    <row r="149" spans="1:16" ht="15.6" x14ac:dyDescent="0.3">
      <c r="A149" s="307"/>
      <c r="B149" s="258" t="s">
        <v>80</v>
      </c>
      <c r="C149" s="319"/>
      <c r="D149" s="319"/>
      <c r="E149" s="258"/>
      <c r="F149" s="258"/>
      <c r="G149" s="258"/>
      <c r="H149" s="258"/>
      <c r="I149" s="258"/>
      <c r="J149" s="258"/>
      <c r="K149" s="258"/>
      <c r="L149" s="258"/>
      <c r="M149" s="260">
        <f>M75</f>
        <v>94335</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+'July 13'!I156</f>
        <v>7636</v>
      </c>
      <c r="J154" s="258"/>
      <c r="K154" s="260">
        <f>+'July 13'!K156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22.596330275229359</v>
      </c>
      <c r="N161" s="264" t="s">
        <v>145</v>
      </c>
      <c r="O161" s="6"/>
    </row>
    <row r="162" spans="1:15" ht="15.6" x14ac:dyDescent="0.3">
      <c r="A162" s="307"/>
      <c r="B162" s="258" t="s">
        <v>89</v>
      </c>
      <c r="C162" s="258"/>
      <c r="D162" s="258"/>
      <c r="E162" s="258"/>
      <c r="F162" s="258"/>
      <c r="G162" s="258"/>
      <c r="H162" s="258"/>
      <c r="I162" s="258"/>
      <c r="J162" s="258"/>
      <c r="K162" s="258"/>
      <c r="L162" s="258"/>
      <c r="M162" s="309">
        <v>3.47</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14.898734177215189</v>
      </c>
      <c r="N163" s="264" t="s">
        <v>145</v>
      </c>
      <c r="O163" s="6"/>
    </row>
    <row r="164" spans="1:15" ht="15.6" x14ac:dyDescent="0.3">
      <c r="A164" s="307"/>
      <c r="B164" s="258" t="s">
        <v>91</v>
      </c>
      <c r="C164" s="258"/>
      <c r="D164" s="258"/>
      <c r="E164" s="258"/>
      <c r="F164" s="258"/>
      <c r="G164" s="258"/>
      <c r="H164" s="258"/>
      <c r="I164" s="258"/>
      <c r="J164" s="258"/>
      <c r="K164" s="258"/>
      <c r="L164" s="258"/>
      <c r="M164" s="310">
        <v>9.65</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17.291338582677167</v>
      </c>
      <c r="N165" s="264" t="s">
        <v>145</v>
      </c>
      <c r="O165" s="6"/>
    </row>
    <row r="166" spans="1:15" ht="15.6" x14ac:dyDescent="0.3">
      <c r="A166" s="307"/>
      <c r="B166" s="258" t="s">
        <v>182</v>
      </c>
      <c r="C166" s="258"/>
      <c r="D166" s="258"/>
      <c r="E166" s="258"/>
      <c r="F166" s="258"/>
      <c r="G166" s="258"/>
      <c r="H166" s="258"/>
      <c r="I166" s="258"/>
      <c r="J166" s="258"/>
      <c r="K166" s="258"/>
      <c r="L166" s="258"/>
      <c r="M166" s="310">
        <v>12.38</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OCTOBER 2013</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41578</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9.5500000000000002E-2</v>
      </c>
      <c r="L176" s="258"/>
      <c r="M176" s="258"/>
      <c r="N176" s="264"/>
      <c r="O176" s="6"/>
    </row>
    <row r="177" spans="1:15" ht="15.6" x14ac:dyDescent="0.3">
      <c r="A177" s="301"/>
      <c r="B177" s="258" t="s">
        <v>97</v>
      </c>
      <c r="C177" s="302"/>
      <c r="D177" s="302"/>
      <c r="E177" s="302"/>
      <c r="F177" s="302"/>
      <c r="G177" s="302"/>
      <c r="H177" s="303"/>
      <c r="I177" s="303"/>
      <c r="J177" s="303"/>
      <c r="K177" s="304">
        <f>M36</f>
        <v>1.5853169750824288E-2</v>
      </c>
      <c r="L177" s="258"/>
      <c r="M177" s="258"/>
      <c r="N177" s="264"/>
      <c r="O177" s="6"/>
    </row>
    <row r="178" spans="1:15" ht="15.6" x14ac:dyDescent="0.3">
      <c r="A178" s="301"/>
      <c r="B178" s="258" t="s">
        <v>98</v>
      </c>
      <c r="C178" s="302"/>
      <c r="D178" s="302"/>
      <c r="E178" s="302"/>
      <c r="F178" s="302"/>
      <c r="G178" s="302"/>
      <c r="H178" s="303"/>
      <c r="I178" s="303"/>
      <c r="J178" s="303"/>
      <c r="K178" s="304">
        <f>K176-K177</f>
        <v>7.964683024917571E-2</v>
      </c>
      <c r="L178" s="258"/>
      <c r="M178" s="258"/>
      <c r="N178" s="264"/>
      <c r="O178" s="6"/>
    </row>
    <row r="179" spans="1:15" ht="15.6" x14ac:dyDescent="0.3">
      <c r="A179" s="301"/>
      <c r="B179" s="258" t="s">
        <v>211</v>
      </c>
      <c r="C179" s="302"/>
      <c r="D179" s="302"/>
      <c r="E179" s="302"/>
      <c r="F179" s="302"/>
      <c r="G179" s="302"/>
      <c r="H179" s="303"/>
      <c r="I179" s="303"/>
      <c r="J179" s="303"/>
      <c r="K179" s="304">
        <f>(+M87+M89)/E58</f>
        <v>2.5840790663186015E-2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12.16</v>
      </c>
      <c r="L184" s="258" t="s">
        <v>139</v>
      </c>
      <c r="M184" s="258"/>
      <c r="N184" s="264"/>
      <c r="O184" s="6"/>
    </row>
    <row r="185" spans="1:15" ht="15.6" x14ac:dyDescent="0.3">
      <c r="A185" s="301"/>
      <c r="B185" s="258" t="s">
        <v>103</v>
      </c>
      <c r="C185" s="302"/>
      <c r="D185" s="302"/>
      <c r="E185" s="302"/>
      <c r="F185" s="302"/>
      <c r="G185" s="302"/>
      <c r="H185" s="303"/>
      <c r="I185" s="303"/>
      <c r="J185" s="303"/>
      <c r="K185" s="304">
        <f>K80/E58</f>
        <v>3.7379760078822537E-2</v>
      </c>
      <c r="L185" s="258"/>
      <c r="M185" s="258"/>
      <c r="N185" s="264"/>
      <c r="O185" s="6"/>
    </row>
    <row r="186" spans="1:15" ht="15.6" x14ac:dyDescent="0.3">
      <c r="A186" s="301"/>
      <c r="B186" s="258" t="s">
        <v>104</v>
      </c>
      <c r="C186" s="302"/>
      <c r="D186" s="302"/>
      <c r="E186" s="302"/>
      <c r="F186" s="302"/>
      <c r="G186" s="302"/>
      <c r="H186" s="303"/>
      <c r="I186" s="303"/>
      <c r="J186" s="303"/>
      <c r="K186" s="304">
        <v>0.24099999999999999</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664</v>
      </c>
      <c r="K189" s="369">
        <v>15423</v>
      </c>
      <c r="L189" s="217"/>
      <c r="M189" s="229"/>
      <c r="N189" s="230"/>
      <c r="O189" s="6"/>
    </row>
    <row r="190" spans="1:15" ht="15.6" x14ac:dyDescent="0.3">
      <c r="A190" s="275"/>
      <c r="B190" s="258" t="s">
        <v>196</v>
      </c>
      <c r="C190" s="256"/>
      <c r="D190" s="256"/>
      <c r="E190" s="256"/>
      <c r="F190" s="256"/>
      <c r="G190" s="258"/>
      <c r="H190" s="258"/>
      <c r="I190" s="258"/>
      <c r="J190" s="276">
        <v>0</v>
      </c>
      <c r="K190" s="277">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434</v>
      </c>
      <c r="L194" s="258"/>
      <c r="M194" s="281"/>
      <c r="N194" s="286"/>
      <c r="O194" s="6"/>
    </row>
    <row r="195" spans="1:15" ht="15.6" x14ac:dyDescent="0.3">
      <c r="A195" s="275"/>
      <c r="B195" s="258" t="s">
        <v>111</v>
      </c>
      <c r="C195" s="256"/>
      <c r="D195" s="256"/>
      <c r="E195" s="256"/>
      <c r="F195" s="256"/>
      <c r="G195" s="256"/>
      <c r="H195" s="258"/>
      <c r="I195" s="258"/>
      <c r="J195" s="258"/>
      <c r="K195" s="375">
        <f>'July 13'!K195+'Oct 13'!K194</f>
        <v>34191</v>
      </c>
      <c r="L195" s="258"/>
      <c r="M195" s="281"/>
      <c r="N195" s="286"/>
      <c r="O195" s="6"/>
    </row>
    <row r="196" spans="1:15" ht="15.6" x14ac:dyDescent="0.3">
      <c r="A196" s="275"/>
      <c r="B196" s="258" t="s">
        <v>112</v>
      </c>
      <c r="C196" s="256"/>
      <c r="D196" s="256"/>
      <c r="E196" s="256"/>
      <c r="F196" s="256"/>
      <c r="G196" s="256"/>
      <c r="H196" s="258"/>
      <c r="I196" s="258"/>
      <c r="J196" s="258"/>
      <c r="K196" s="375">
        <f>'July 13'!K196+373</f>
        <v>10566</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277">
        <v>1</v>
      </c>
      <c r="L198" s="258"/>
      <c r="M198" s="261"/>
      <c r="N198" s="286"/>
      <c r="O198" s="6"/>
    </row>
    <row r="199" spans="1:15" ht="15.6" x14ac:dyDescent="0.3">
      <c r="A199" s="275"/>
      <c r="B199" s="258" t="s">
        <v>113</v>
      </c>
      <c r="C199" s="256"/>
      <c r="D199" s="256"/>
      <c r="E199" s="290"/>
      <c r="F199" s="290"/>
      <c r="G199" s="291"/>
      <c r="H199" s="258"/>
      <c r="I199" s="258"/>
      <c r="J199" s="258"/>
      <c r="K199" s="292">
        <v>16.73</v>
      </c>
      <c r="L199" s="258"/>
      <c r="M199" s="261"/>
      <c r="N199" s="286"/>
      <c r="O199" s="6"/>
    </row>
    <row r="200" spans="1:15" ht="15.6" x14ac:dyDescent="0.3">
      <c r="A200" s="275"/>
      <c r="B200" s="258" t="s">
        <v>114</v>
      </c>
      <c r="C200" s="256"/>
      <c r="D200" s="256"/>
      <c r="E200" s="290"/>
      <c r="F200" s="290"/>
      <c r="G200" s="291"/>
      <c r="H200" s="258"/>
      <c r="I200" s="258"/>
      <c r="J200" s="258"/>
      <c r="K200" s="292">
        <v>3.18</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3713</v>
      </c>
      <c r="J205" s="232">
        <f>I205/I213</f>
        <v>0.84829792095042267</v>
      </c>
      <c r="K205" s="221">
        <v>78912</v>
      </c>
      <c r="L205" s="232">
        <f>K205/K213</f>
        <v>0.83650818890125611</v>
      </c>
      <c r="M205" s="228"/>
      <c r="N205" s="218"/>
      <c r="O205" s="6"/>
    </row>
    <row r="206" spans="1:15" ht="15.6" x14ac:dyDescent="0.3">
      <c r="A206" s="255"/>
      <c r="B206" s="256" t="s">
        <v>117</v>
      </c>
      <c r="C206" s="257"/>
      <c r="D206" s="257"/>
      <c r="E206" s="256"/>
      <c r="F206" s="257"/>
      <c r="G206" s="258"/>
      <c r="H206" s="259"/>
      <c r="I206" s="256">
        <v>132</v>
      </c>
      <c r="J206" s="259">
        <f>I206/I213</f>
        <v>3.015764222069911E-2</v>
      </c>
      <c r="K206" s="260">
        <v>2649</v>
      </c>
      <c r="L206" s="259">
        <f>K206/K213</f>
        <v>2.8080775958021942E-2</v>
      </c>
      <c r="M206" s="261"/>
      <c r="N206" s="263"/>
      <c r="O206" s="6"/>
    </row>
    <row r="207" spans="1:15" ht="15.6" x14ac:dyDescent="0.3">
      <c r="A207" s="255"/>
      <c r="B207" s="256" t="s">
        <v>118</v>
      </c>
      <c r="C207" s="257"/>
      <c r="D207" s="257"/>
      <c r="E207" s="256"/>
      <c r="F207" s="257"/>
      <c r="G207" s="256"/>
      <c r="H207" s="259"/>
      <c r="I207" s="256">
        <v>97</v>
      </c>
      <c r="J207" s="259">
        <f>I207/I213</f>
        <v>2.2161297692483435E-2</v>
      </c>
      <c r="K207" s="260">
        <v>2196</v>
      </c>
      <c r="L207" s="259">
        <f>K207/K213</f>
        <v>2.3278740658292257E-2</v>
      </c>
      <c r="M207" s="374"/>
      <c r="N207" s="263"/>
      <c r="O207" s="6"/>
    </row>
    <row r="208" spans="1:15" ht="15.6" x14ac:dyDescent="0.3">
      <c r="A208" s="255"/>
      <c r="B208" s="256" t="s">
        <v>167</v>
      </c>
      <c r="C208" s="257"/>
      <c r="D208" s="257"/>
      <c r="E208" s="256"/>
      <c r="F208" s="257"/>
      <c r="G208" s="256"/>
      <c r="H208" s="259"/>
      <c r="I208" s="256">
        <v>80</v>
      </c>
      <c r="J208" s="259">
        <f>I208/I213</f>
        <v>1.8277358921635824E-2</v>
      </c>
      <c r="K208" s="260">
        <v>1719</v>
      </c>
      <c r="L208" s="259">
        <f>K208/K213</f>
        <v>1.8222292892351725E-2</v>
      </c>
      <c r="M208" s="374"/>
      <c r="N208" s="263"/>
      <c r="O208" s="6"/>
    </row>
    <row r="209" spans="1:15" ht="15.6" x14ac:dyDescent="0.3">
      <c r="A209" s="255"/>
      <c r="B209" s="256" t="s">
        <v>168</v>
      </c>
      <c r="C209" s="257"/>
      <c r="D209" s="257"/>
      <c r="E209" s="256"/>
      <c r="F209" s="257"/>
      <c r="G209" s="258"/>
      <c r="H209" s="259"/>
      <c r="I209" s="256">
        <v>65</v>
      </c>
      <c r="J209" s="259">
        <f>I209/I213</f>
        <v>1.4850354123829106E-2</v>
      </c>
      <c r="K209" s="260">
        <v>1343</v>
      </c>
      <c r="L209" s="259">
        <f>K209/K213</f>
        <v>1.423649758838183E-2</v>
      </c>
      <c r="M209" s="374"/>
      <c r="N209" s="262"/>
      <c r="O209" s="6"/>
    </row>
    <row r="210" spans="1:15" ht="15.6" x14ac:dyDescent="0.3">
      <c r="A210" s="255"/>
      <c r="B210" s="256" t="s">
        <v>169</v>
      </c>
      <c r="C210" s="257"/>
      <c r="D210" s="257"/>
      <c r="E210" s="256"/>
      <c r="F210" s="257"/>
      <c r="G210" s="258"/>
      <c r="H210" s="259"/>
      <c r="I210" s="256">
        <v>56</v>
      </c>
      <c r="J210" s="259">
        <f>I210/I213</f>
        <v>1.2794151245145076E-2</v>
      </c>
      <c r="K210" s="260">
        <v>1373</v>
      </c>
      <c r="L210" s="259">
        <f>K210/K213</f>
        <v>1.4554513171145386E-2</v>
      </c>
      <c r="M210" s="374"/>
      <c r="N210" s="262"/>
      <c r="O210" s="6"/>
    </row>
    <row r="211" spans="1:15" ht="15.6" x14ac:dyDescent="0.3">
      <c r="A211" s="255"/>
      <c r="B211" s="256" t="s">
        <v>176</v>
      </c>
      <c r="C211" s="257"/>
      <c r="D211" s="257"/>
      <c r="E211" s="256"/>
      <c r="F211" s="257"/>
      <c r="G211" s="258"/>
      <c r="H211" s="259"/>
      <c r="I211" s="256">
        <v>126</v>
      </c>
      <c r="J211" s="259">
        <f>I211/I213</f>
        <v>2.8786840301576421E-2</v>
      </c>
      <c r="K211" s="260">
        <v>3122</v>
      </c>
      <c r="L211" s="259">
        <f>K211/K213</f>
        <v>3.3094821646260666E-2</v>
      </c>
      <c r="M211" s="261"/>
      <c r="N211" s="263"/>
      <c r="O211" s="6"/>
    </row>
    <row r="212" spans="1:15" ht="15.6" x14ac:dyDescent="0.3">
      <c r="A212" s="255"/>
      <c r="B212" s="256" t="s">
        <v>202</v>
      </c>
      <c r="C212" s="257"/>
      <c r="D212" s="257"/>
      <c r="E212" s="256"/>
      <c r="F212" s="257"/>
      <c r="G212" s="258"/>
      <c r="H212" s="259"/>
      <c r="I212" s="256">
        <v>108</v>
      </c>
      <c r="J212" s="259">
        <f>+I212/I213</f>
        <v>2.4674434544208361E-2</v>
      </c>
      <c r="K212" s="260">
        <v>3021</v>
      </c>
      <c r="L212" s="259">
        <f>+K212/K213</f>
        <v>3.2024169184290033E-2</v>
      </c>
      <c r="M212" s="261"/>
      <c r="N212" s="263"/>
      <c r="O212" s="6"/>
    </row>
    <row r="213" spans="1:15" ht="15.6" x14ac:dyDescent="0.3">
      <c r="A213" s="255"/>
      <c r="B213" s="258" t="s">
        <v>189</v>
      </c>
      <c r="C213" s="258"/>
      <c r="D213" s="258"/>
      <c r="E213" s="258"/>
      <c r="F213" s="258"/>
      <c r="G213" s="256"/>
      <c r="H213" s="258"/>
      <c r="I213" s="256">
        <f>SUM(I205:I212)</f>
        <v>4377</v>
      </c>
      <c r="J213" s="259">
        <f>SUM(J205:J212)</f>
        <v>0.99999999999999989</v>
      </c>
      <c r="K213" s="260">
        <f>SUM(K205:K212)</f>
        <v>94335</v>
      </c>
      <c r="L213" s="259">
        <f>SUM(L205:L212)</f>
        <v>1</v>
      </c>
      <c r="M213" s="258"/>
      <c r="N213" s="264"/>
      <c r="O213" s="6"/>
    </row>
    <row r="214" spans="1:15" ht="15.6" x14ac:dyDescent="0.3">
      <c r="A214" s="255"/>
      <c r="B214" s="256" t="s">
        <v>170</v>
      </c>
      <c r="C214" s="257"/>
      <c r="D214" s="257"/>
      <c r="E214" s="256"/>
      <c r="F214" s="257"/>
      <c r="G214" s="256"/>
      <c r="H214" s="259"/>
      <c r="I214" s="256">
        <v>278</v>
      </c>
      <c r="J214" s="259"/>
      <c r="K214" s="260">
        <v>7564</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1.0778000000000001</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OCTOBER 2013</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200-000000000000}"/>
    <hyperlink ref="K202" r:id="rId2" xr:uid="{00000000-0004-0000-22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2D2926"/>
  </sheetPr>
  <dimension ref="A1:P227"/>
  <sheetViews>
    <sheetView showOutlineSymbols="0" zoomScale="70" zoomScaleNormal="70" workbookViewId="0">
      <selection activeCell="C47" activeCellId="1" sqref="A1 C47"/>
    </sheetView>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41694</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43211.830200000004</v>
      </c>
      <c r="D31" s="345"/>
      <c r="E31" s="344">
        <f>E30*E34</f>
        <v>31118.707199999997</v>
      </c>
      <c r="F31" s="344"/>
      <c r="G31" s="344">
        <f>G30*G34</f>
        <v>20004.8832</v>
      </c>
      <c r="H31" s="346"/>
      <c r="I31" s="346"/>
      <c r="J31" s="346"/>
      <c r="K31" s="346"/>
      <c r="L31" s="347"/>
      <c r="M31" s="344">
        <f>C31+E31+G31</f>
        <v>94335.420599999998</v>
      </c>
      <c r="N31" s="348"/>
      <c r="O31" s="6"/>
    </row>
    <row r="32" spans="1:15" ht="15.6" x14ac:dyDescent="0.3">
      <c r="A32" s="340"/>
      <c r="B32" s="319" t="s">
        <v>16</v>
      </c>
      <c r="C32" s="349">
        <f>C30*C33</f>
        <v>38597.743800000004</v>
      </c>
      <c r="D32" s="350"/>
      <c r="E32" s="349">
        <f>E30*E33</f>
        <v>31118.707199999997</v>
      </c>
      <c r="F32" s="349"/>
      <c r="G32" s="349">
        <f>G30*G33</f>
        <v>20004.8832</v>
      </c>
      <c r="H32" s="351"/>
      <c r="I32" s="351"/>
      <c r="J32" s="351"/>
      <c r="K32" s="351"/>
      <c r="L32" s="352"/>
      <c r="M32" s="344">
        <f>C32+E32+G32</f>
        <v>89721.334199999998</v>
      </c>
      <c r="N32" s="348"/>
      <c r="O32" s="6"/>
    </row>
    <row r="33" spans="1:15" ht="15.6" x14ac:dyDescent="0.3">
      <c r="A33" s="340"/>
      <c r="B33" s="278" t="s">
        <v>174</v>
      </c>
      <c r="C33" s="371">
        <v>0.16708980000000001</v>
      </c>
      <c r="D33" s="372"/>
      <c r="E33" s="371">
        <v>0.74092159999999996</v>
      </c>
      <c r="F33" s="371"/>
      <c r="G33" s="371">
        <v>0.74092159999999996</v>
      </c>
      <c r="H33" s="373"/>
      <c r="I33" s="373"/>
      <c r="J33" s="351"/>
      <c r="K33" s="351"/>
      <c r="L33" s="352"/>
      <c r="M33" s="351"/>
      <c r="N33" s="348"/>
      <c r="O33" s="6"/>
    </row>
    <row r="34" spans="1:15" ht="15.6" x14ac:dyDescent="0.3">
      <c r="A34" s="340"/>
      <c r="B34" s="278" t="s">
        <v>175</v>
      </c>
      <c r="C34" s="371">
        <v>0.18706420000000001</v>
      </c>
      <c r="D34" s="372"/>
      <c r="E34" s="371">
        <v>0.74092159999999996</v>
      </c>
      <c r="F34" s="371"/>
      <c r="G34" s="371">
        <v>0.74092159999999996</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9.2405999999999999E-3</v>
      </c>
      <c r="D36" s="258"/>
      <c r="E36" s="356">
        <v>2.0240600000000001E-2</v>
      </c>
      <c r="F36" s="304"/>
      <c r="G36" s="356">
        <v>2.5240599999999998E-2</v>
      </c>
      <c r="H36" s="304"/>
      <c r="I36" s="356"/>
      <c r="J36" s="304"/>
      <c r="K36" s="356"/>
      <c r="L36" s="321"/>
      <c r="M36" s="304">
        <f>SUMPRODUCT(C36:G36,C31:G31)/M31</f>
        <v>1.6262182203026717E-2</v>
      </c>
      <c r="N36" s="264"/>
      <c r="O36" s="6"/>
    </row>
    <row r="37" spans="1:15" ht="15.6" x14ac:dyDescent="0.3">
      <c r="A37" s="307"/>
      <c r="B37" s="258" t="s">
        <v>19</v>
      </c>
      <c r="C37" s="356">
        <v>9.1249999999999994E-3</v>
      </c>
      <c r="D37" s="258"/>
      <c r="E37" s="356">
        <v>2.0125000000000001E-2</v>
      </c>
      <c r="F37" s="304"/>
      <c r="G37" s="356">
        <v>2.5125000000000001E-2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1.3245227665353847</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41687</v>
      </c>
      <c r="N47" s="264"/>
      <c r="O47" s="6"/>
    </row>
    <row r="48" spans="1:15" ht="15.6" x14ac:dyDescent="0.3">
      <c r="A48" s="307"/>
      <c r="B48" s="258" t="s">
        <v>26</v>
      </c>
      <c r="C48" s="258"/>
      <c r="D48" s="258"/>
      <c r="E48" s="258"/>
      <c r="F48" s="258"/>
      <c r="G48" s="258"/>
      <c r="H48" s="258"/>
      <c r="I48" s="258"/>
      <c r="J48" s="258">
        <f>M48-K48+1</f>
        <v>92</v>
      </c>
      <c r="K48" s="360">
        <v>41501</v>
      </c>
      <c r="L48" s="361"/>
      <c r="M48" s="360">
        <v>41592</v>
      </c>
      <c r="N48" s="264"/>
      <c r="O48" s="6"/>
    </row>
    <row r="49" spans="1:15" ht="15.6" x14ac:dyDescent="0.3">
      <c r="A49" s="307"/>
      <c r="B49" s="258" t="s">
        <v>27</v>
      </c>
      <c r="C49" s="258"/>
      <c r="D49" s="258"/>
      <c r="E49" s="258"/>
      <c r="F49" s="258"/>
      <c r="G49" s="258"/>
      <c r="H49" s="258"/>
      <c r="I49" s="258"/>
      <c r="J49" s="258">
        <f>M49-K49+1</f>
        <v>94</v>
      </c>
      <c r="K49" s="360">
        <v>41593</v>
      </c>
      <c r="L49" s="361"/>
      <c r="M49" s="360">
        <v>41686</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41673</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265</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94335</v>
      </c>
      <c r="F58" s="256"/>
      <c r="G58" s="256">
        <f>3603+1011</f>
        <v>4614</v>
      </c>
      <c r="H58" s="256"/>
      <c r="I58" s="256">
        <v>0</v>
      </c>
      <c r="J58" s="256"/>
      <c r="K58" s="256">
        <v>0</v>
      </c>
      <c r="L58" s="256"/>
      <c r="M58" s="260">
        <f>E58-G58+I58-K58</f>
        <v>89721</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94335</v>
      </c>
      <c r="F62" s="256"/>
      <c r="G62" s="256">
        <f>SUM(G58:G61)</f>
        <v>4614</v>
      </c>
      <c r="H62" s="256"/>
      <c r="I62" s="256">
        <f>SUM(I58:I61)</f>
        <v>0</v>
      </c>
      <c r="J62" s="256"/>
      <c r="K62" s="256">
        <f>SUM(K58:K61)</f>
        <v>0</v>
      </c>
      <c r="L62" s="256"/>
      <c r="M62" s="256">
        <f>SUM(M58:M61)</f>
        <v>89721</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94335</v>
      </c>
      <c r="F75" s="256"/>
      <c r="G75" s="256"/>
      <c r="H75" s="256"/>
      <c r="I75" s="256"/>
      <c r="J75" s="256"/>
      <c r="K75" s="256"/>
      <c r="L75" s="256"/>
      <c r="M75" s="256">
        <f>SUM(M62:M74)</f>
        <v>89721</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41670</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4614-1011</f>
        <v>3603</v>
      </c>
      <c r="L80" s="258"/>
      <c r="M80" s="260"/>
      <c r="N80" s="264"/>
      <c r="O80" s="6"/>
    </row>
    <row r="81" spans="1:16" ht="15.6" x14ac:dyDescent="0.3">
      <c r="A81" s="307"/>
      <c r="B81" s="258" t="s">
        <v>204</v>
      </c>
      <c r="C81" s="290"/>
      <c r="D81" s="325"/>
      <c r="E81" s="326"/>
      <c r="F81" s="258"/>
      <c r="G81" s="258"/>
      <c r="H81" s="258"/>
      <c r="I81" s="258"/>
      <c r="J81" s="258"/>
      <c r="K81" s="256"/>
      <c r="L81" s="258"/>
      <c r="M81" s="260">
        <f>4297+21-2065</f>
        <v>2253</v>
      </c>
      <c r="N81" s="264"/>
      <c r="O81" s="6"/>
    </row>
    <row r="82" spans="1:16" ht="15.6" x14ac:dyDescent="0.3">
      <c r="A82" s="307"/>
      <c r="B82" s="258" t="s">
        <v>205</v>
      </c>
      <c r="C82" s="290"/>
      <c r="D82" s="325"/>
      <c r="E82" s="326"/>
      <c r="F82" s="258"/>
      <c r="G82" s="258"/>
      <c r="H82" s="258"/>
      <c r="I82" s="258"/>
      <c r="J82" s="258"/>
      <c r="K82" s="256"/>
      <c r="L82" s="258"/>
      <c r="M82" s="260">
        <f>208</f>
        <v>208</v>
      </c>
      <c r="N82" s="264"/>
      <c r="O82" s="6"/>
    </row>
    <row r="83" spans="1:16" ht="15.6" x14ac:dyDescent="0.3">
      <c r="A83" s="307"/>
      <c r="B83" s="258" t="s">
        <v>206</v>
      </c>
      <c r="C83" s="290"/>
      <c r="D83" s="325"/>
      <c r="E83" s="326"/>
      <c r="F83" s="258"/>
      <c r="G83" s="258"/>
      <c r="H83" s="258"/>
      <c r="I83" s="258"/>
      <c r="J83" s="258"/>
      <c r="K83" s="256"/>
      <c r="L83" s="258"/>
      <c r="M83" s="260">
        <v>21</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3603</v>
      </c>
      <c r="L85" s="258"/>
      <c r="M85" s="256">
        <f>SUM(M79:M84)</f>
        <v>2482</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3603</v>
      </c>
      <c r="L87" s="258"/>
      <c r="M87" s="256">
        <f>M85+M86</f>
        <v>2482</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-36-35-1</f>
        <v>-72</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-103</v>
      </c>
      <c r="N93" s="311"/>
      <c r="O93" s="6"/>
    </row>
    <row r="94" spans="1:16" ht="15.6" x14ac:dyDescent="0.3">
      <c r="A94" s="255">
        <v>5</v>
      </c>
      <c r="B94" s="258" t="s">
        <v>52</v>
      </c>
      <c r="C94" s="258"/>
      <c r="D94" s="258"/>
      <c r="E94" s="258"/>
      <c r="F94" s="258"/>
      <c r="G94" s="258"/>
      <c r="H94" s="258"/>
      <c r="I94" s="258"/>
      <c r="J94" s="258"/>
      <c r="K94" s="258"/>
      <c r="L94" s="258"/>
      <c r="M94" s="260">
        <v>-162</v>
      </c>
      <c r="N94" s="311"/>
      <c r="O94" s="6"/>
    </row>
    <row r="95" spans="1:16" ht="15.6" x14ac:dyDescent="0.3">
      <c r="A95" s="255">
        <v>6</v>
      </c>
      <c r="B95" s="258" t="s">
        <v>172</v>
      </c>
      <c r="C95" s="258"/>
      <c r="D95" s="258"/>
      <c r="E95" s="258"/>
      <c r="F95" s="258"/>
      <c r="G95" s="258"/>
      <c r="H95" s="258"/>
      <c r="I95" s="258"/>
      <c r="J95" s="258"/>
      <c r="K95" s="258"/>
      <c r="L95" s="258"/>
      <c r="M95" s="260">
        <v>-130</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1011</v>
      </c>
      <c r="L97" s="258"/>
      <c r="M97" s="260">
        <v>-1011</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-35</v>
      </c>
      <c r="N101" s="311"/>
      <c r="O101" s="6"/>
    </row>
    <row r="102" spans="1:16" ht="15.6" x14ac:dyDescent="0.3">
      <c r="A102" s="255">
        <v>13</v>
      </c>
      <c r="B102" s="258" t="s">
        <v>195</v>
      </c>
      <c r="C102" s="258"/>
      <c r="D102" s="258"/>
      <c r="E102" s="258"/>
      <c r="F102" s="258"/>
      <c r="G102" s="258"/>
      <c r="H102" s="258"/>
      <c r="I102" s="258"/>
      <c r="J102" s="258"/>
      <c r="K102" s="258"/>
      <c r="L102" s="258"/>
      <c r="M102" s="260">
        <f>-M87-SUM(M89:M101)</f>
        <v>-960</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-4614</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+K105+K106+K107+K108+K109</f>
        <v>-4614</v>
      </c>
      <c r="L110" s="256"/>
      <c r="M110" s="256">
        <f>SUM(M88:M109)</f>
        <v>-2482</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JANUARY 2014</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595</v>
      </c>
      <c r="N139" s="264"/>
      <c r="O139" s="6"/>
    </row>
    <row r="140" spans="1:15" ht="15.6" x14ac:dyDescent="0.3">
      <c r="A140" s="307"/>
      <c r="B140" s="258" t="s">
        <v>180</v>
      </c>
      <c r="C140" s="258"/>
      <c r="D140" s="258"/>
      <c r="E140" s="258"/>
      <c r="F140" s="258"/>
      <c r="G140" s="258"/>
      <c r="H140" s="258"/>
      <c r="I140" s="258"/>
      <c r="J140" s="258"/>
      <c r="K140" s="258"/>
      <c r="L140" s="258"/>
      <c r="M140" s="260">
        <f>430-14</f>
        <v>416</v>
      </c>
      <c r="N140" s="264"/>
      <c r="O140" s="6"/>
    </row>
    <row r="141" spans="1:15" ht="15.6" x14ac:dyDescent="0.3">
      <c r="A141" s="307"/>
      <c r="B141" s="258" t="s">
        <v>77</v>
      </c>
      <c r="C141" s="258"/>
      <c r="D141" s="258"/>
      <c r="E141" s="258"/>
      <c r="F141" s="258"/>
      <c r="G141" s="258"/>
      <c r="H141" s="258"/>
      <c r="I141" s="258"/>
      <c r="J141" s="258"/>
      <c r="K141" s="258"/>
      <c r="L141" s="258"/>
      <c r="M141" s="260">
        <f>M139+M138+M140</f>
        <v>1011</v>
      </c>
      <c r="N141" s="264"/>
      <c r="O141" s="6"/>
    </row>
    <row r="142" spans="1:15" ht="15.6" x14ac:dyDescent="0.3">
      <c r="A142" s="307"/>
      <c r="B142" s="258" t="s">
        <v>183</v>
      </c>
      <c r="C142" s="258"/>
      <c r="D142" s="258"/>
      <c r="E142" s="258"/>
      <c r="F142" s="258"/>
      <c r="G142" s="258"/>
      <c r="H142" s="258"/>
      <c r="I142" s="303"/>
      <c r="J142" s="258"/>
      <c r="K142" s="258"/>
      <c r="L142" s="258"/>
      <c r="M142" s="260">
        <f>M97</f>
        <v>-1011</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89721</v>
      </c>
      <c r="N148" s="318"/>
      <c r="O148" s="6"/>
      <c r="P148" s="117"/>
    </row>
    <row r="149" spans="1:16" ht="15.6" x14ac:dyDescent="0.3">
      <c r="A149" s="307"/>
      <c r="B149" s="258" t="s">
        <v>80</v>
      </c>
      <c r="C149" s="319"/>
      <c r="D149" s="319"/>
      <c r="E149" s="258"/>
      <c r="F149" s="258"/>
      <c r="G149" s="258"/>
      <c r="H149" s="258"/>
      <c r="I149" s="258"/>
      <c r="J149" s="258"/>
      <c r="K149" s="258"/>
      <c r="L149" s="258"/>
      <c r="M149" s="260">
        <f>M75</f>
        <v>89721</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+'Oct 13'!I156</f>
        <v>7636</v>
      </c>
      <c r="J154" s="258"/>
      <c r="K154" s="260">
        <f>'Oct 13'!K156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23.378640776699029</v>
      </c>
      <c r="N161" s="264" t="s">
        <v>145</v>
      </c>
      <c r="O161" s="6"/>
    </row>
    <row r="162" spans="1:15" ht="15.6" x14ac:dyDescent="0.3">
      <c r="A162" s="307"/>
      <c r="B162" s="258" t="s">
        <v>89</v>
      </c>
      <c r="C162" s="258"/>
      <c r="D162" s="258"/>
      <c r="E162" s="258"/>
      <c r="F162" s="258"/>
      <c r="G162" s="258"/>
      <c r="H162" s="258"/>
      <c r="I162" s="258"/>
      <c r="J162" s="258"/>
      <c r="K162" s="258"/>
      <c r="L162" s="258"/>
      <c r="M162" s="309">
        <v>3.51</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14.228395061728396</v>
      </c>
      <c r="N163" s="264" t="s">
        <v>145</v>
      </c>
      <c r="O163" s="6"/>
    </row>
    <row r="164" spans="1:15" ht="15.6" x14ac:dyDescent="0.3">
      <c r="A164" s="307"/>
      <c r="B164" s="258" t="s">
        <v>91</v>
      </c>
      <c r="C164" s="258"/>
      <c r="D164" s="258"/>
      <c r="E164" s="258"/>
      <c r="F164" s="258"/>
      <c r="G164" s="258"/>
      <c r="H164" s="258"/>
      <c r="I164" s="258"/>
      <c r="J164" s="258"/>
      <c r="K164" s="258"/>
      <c r="L164" s="258"/>
      <c r="M164" s="310">
        <v>9.6999999999999993</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16.484615384615385</v>
      </c>
      <c r="N165" s="264" t="s">
        <v>145</v>
      </c>
      <c r="O165" s="6"/>
    </row>
    <row r="166" spans="1:15" ht="15.6" x14ac:dyDescent="0.3">
      <c r="A166" s="307"/>
      <c r="B166" s="258" t="s">
        <v>182</v>
      </c>
      <c r="C166" s="258"/>
      <c r="D166" s="258"/>
      <c r="E166" s="258"/>
      <c r="F166" s="258"/>
      <c r="G166" s="258"/>
      <c r="H166" s="258"/>
      <c r="I166" s="258"/>
      <c r="J166" s="258"/>
      <c r="K166" s="258"/>
      <c r="L166" s="258"/>
      <c r="M166" s="310">
        <v>12.43</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JANUARY 2014</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41670</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9.5500000000000002E-2</v>
      </c>
      <c r="L176" s="258"/>
      <c r="M176" s="258"/>
      <c r="N176" s="264"/>
      <c r="O176" s="6"/>
    </row>
    <row r="177" spans="1:15" ht="15.6" x14ac:dyDescent="0.3">
      <c r="A177" s="301"/>
      <c r="B177" s="258" t="s">
        <v>97</v>
      </c>
      <c r="C177" s="302"/>
      <c r="D177" s="302"/>
      <c r="E177" s="302"/>
      <c r="F177" s="302"/>
      <c r="G177" s="302"/>
      <c r="H177" s="303"/>
      <c r="I177" s="303"/>
      <c r="J177" s="303"/>
      <c r="K177" s="304">
        <f>M36</f>
        <v>1.6262182203026717E-2</v>
      </c>
      <c r="L177" s="258"/>
      <c r="M177" s="258"/>
      <c r="N177" s="264"/>
      <c r="O177" s="6"/>
    </row>
    <row r="178" spans="1:15" ht="15.6" x14ac:dyDescent="0.3">
      <c r="A178" s="301"/>
      <c r="B178" s="258" t="s">
        <v>98</v>
      </c>
      <c r="C178" s="302"/>
      <c r="D178" s="302"/>
      <c r="E178" s="302"/>
      <c r="F178" s="302"/>
      <c r="G178" s="302"/>
      <c r="H178" s="303"/>
      <c r="I178" s="303"/>
      <c r="J178" s="303"/>
      <c r="K178" s="304">
        <f>K176-K177</f>
        <v>7.9237817796973281E-2</v>
      </c>
      <c r="L178" s="258"/>
      <c r="M178" s="258"/>
      <c r="N178" s="264"/>
      <c r="O178" s="6"/>
    </row>
    <row r="179" spans="1:15" ht="15.6" x14ac:dyDescent="0.3">
      <c r="A179" s="301"/>
      <c r="B179" s="258" t="s">
        <v>211</v>
      </c>
      <c r="C179" s="302"/>
      <c r="D179" s="302"/>
      <c r="E179" s="302"/>
      <c r="F179" s="302"/>
      <c r="G179" s="302"/>
      <c r="H179" s="303"/>
      <c r="I179" s="303"/>
      <c r="J179" s="303"/>
      <c r="K179" s="304">
        <f>(+M87+M89)/E58</f>
        <v>2.6310489213971486E-2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12.02</v>
      </c>
      <c r="L184" s="258" t="s">
        <v>139</v>
      </c>
      <c r="M184" s="258"/>
      <c r="N184" s="264"/>
      <c r="O184" s="6"/>
    </row>
    <row r="185" spans="1:15" ht="15.6" x14ac:dyDescent="0.3">
      <c r="A185" s="301"/>
      <c r="B185" s="258" t="s">
        <v>103</v>
      </c>
      <c r="C185" s="302"/>
      <c r="D185" s="302"/>
      <c r="E185" s="302"/>
      <c r="F185" s="302"/>
      <c r="G185" s="302"/>
      <c r="H185" s="303"/>
      <c r="I185" s="303"/>
      <c r="J185" s="303"/>
      <c r="K185" s="304">
        <f>K80/E58</f>
        <v>3.8193671489903006E-2</v>
      </c>
      <c r="L185" s="258"/>
      <c r="M185" s="258"/>
      <c r="N185" s="264"/>
      <c r="O185" s="6"/>
    </row>
    <row r="186" spans="1:15" ht="15.6" x14ac:dyDescent="0.3">
      <c r="A186" s="301"/>
      <c r="B186" s="258" t="s">
        <v>104</v>
      </c>
      <c r="C186" s="302"/>
      <c r="D186" s="302"/>
      <c r="E186" s="302"/>
      <c r="F186" s="302"/>
      <c r="G186" s="302"/>
      <c r="H186" s="303"/>
      <c r="I186" s="303"/>
      <c r="J186" s="303"/>
      <c r="K186" s="304">
        <v>0.23860000000000001</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643</v>
      </c>
      <c r="K189" s="369">
        <v>14300</v>
      </c>
      <c r="L189" s="217"/>
      <c r="M189" s="229"/>
      <c r="N189" s="230"/>
      <c r="O189" s="6"/>
    </row>
    <row r="190" spans="1:15" ht="15.6" x14ac:dyDescent="0.3">
      <c r="A190" s="275"/>
      <c r="B190" s="258" t="s">
        <v>196</v>
      </c>
      <c r="C190" s="256"/>
      <c r="D190" s="256"/>
      <c r="E190" s="256"/>
      <c r="F190" s="256"/>
      <c r="G190" s="258"/>
      <c r="H190" s="258"/>
      <c r="I190" s="258"/>
      <c r="J190" s="276">
        <v>0</v>
      </c>
      <c r="K190" s="277">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1011</v>
      </c>
      <c r="L194" s="258"/>
      <c r="M194" s="281"/>
      <c r="N194" s="286"/>
      <c r="O194" s="6"/>
    </row>
    <row r="195" spans="1:15" ht="15.6" x14ac:dyDescent="0.3">
      <c r="A195" s="275"/>
      <c r="B195" s="258" t="s">
        <v>111</v>
      </c>
      <c r="C195" s="256"/>
      <c r="D195" s="256"/>
      <c r="E195" s="256"/>
      <c r="F195" s="256"/>
      <c r="G195" s="256"/>
      <c r="H195" s="258"/>
      <c r="I195" s="258"/>
      <c r="J195" s="258"/>
      <c r="K195" s="375">
        <f>'Oct 13'!K195+'Jan 14'!K194</f>
        <v>35202</v>
      </c>
      <c r="L195" s="258"/>
      <c r="M195" s="281"/>
      <c r="N195" s="286"/>
      <c r="O195" s="6"/>
    </row>
    <row r="196" spans="1:15" ht="15.6" x14ac:dyDescent="0.3">
      <c r="A196" s="275"/>
      <c r="B196" s="258" t="s">
        <v>112</v>
      </c>
      <c r="C196" s="256"/>
      <c r="D196" s="256"/>
      <c r="E196" s="256"/>
      <c r="F196" s="256"/>
      <c r="G196" s="256"/>
      <c r="H196" s="258"/>
      <c r="I196" s="258"/>
      <c r="J196" s="258"/>
      <c r="K196" s="375">
        <f>'Oct 13'!K196+459</f>
        <v>11025</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277">
        <v>0</v>
      </c>
      <c r="L198" s="258"/>
      <c r="M198" s="261"/>
      <c r="N198" s="286"/>
      <c r="O198" s="6"/>
    </row>
    <row r="199" spans="1:15" ht="15.6" x14ac:dyDescent="0.3">
      <c r="A199" s="275"/>
      <c r="B199" s="258" t="s">
        <v>113</v>
      </c>
      <c r="C199" s="256"/>
      <c r="D199" s="256"/>
      <c r="E199" s="290"/>
      <c r="F199" s="290"/>
      <c r="G199" s="291"/>
      <c r="H199" s="258"/>
      <c r="I199" s="258"/>
      <c r="J199" s="258"/>
      <c r="K199" s="292">
        <v>0</v>
      </c>
      <c r="L199" s="258"/>
      <c r="M199" s="261"/>
      <c r="N199" s="286"/>
      <c r="O199" s="6"/>
    </row>
    <row r="200" spans="1:15" ht="15.6" x14ac:dyDescent="0.3">
      <c r="A200" s="275"/>
      <c r="B200" s="258" t="s">
        <v>114</v>
      </c>
      <c r="C200" s="256"/>
      <c r="D200" s="256"/>
      <c r="E200" s="290"/>
      <c r="F200" s="290"/>
      <c r="G200" s="291"/>
      <c r="H200" s="258"/>
      <c r="I200" s="258"/>
      <c r="J200" s="258"/>
      <c r="K200" s="292">
        <v>0</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3579</v>
      </c>
      <c r="J205" s="232">
        <f>I205/I213</f>
        <v>0.8477025106584557</v>
      </c>
      <c r="K205" s="221">
        <v>75421</v>
      </c>
      <c r="L205" s="232">
        <f>K205/K213</f>
        <v>0.84061702388515513</v>
      </c>
      <c r="M205" s="228"/>
      <c r="N205" s="218"/>
      <c r="O205" s="6"/>
    </row>
    <row r="206" spans="1:15" ht="15.6" x14ac:dyDescent="0.3">
      <c r="A206" s="255"/>
      <c r="B206" s="256" t="s">
        <v>117</v>
      </c>
      <c r="C206" s="257"/>
      <c r="D206" s="257"/>
      <c r="E206" s="256"/>
      <c r="F206" s="257"/>
      <c r="G206" s="258"/>
      <c r="H206" s="259"/>
      <c r="I206" s="256">
        <v>157</v>
      </c>
      <c r="J206" s="259">
        <f>I206/I213</f>
        <v>3.7186167693036475E-2</v>
      </c>
      <c r="K206" s="260">
        <v>2815</v>
      </c>
      <c r="L206" s="259">
        <f>K206/K213</f>
        <v>3.137504040302716E-2</v>
      </c>
      <c r="M206" s="261"/>
      <c r="N206" s="263"/>
      <c r="O206" s="6"/>
    </row>
    <row r="207" spans="1:15" ht="15.6" x14ac:dyDescent="0.3">
      <c r="A207" s="255"/>
      <c r="B207" s="256" t="s">
        <v>118</v>
      </c>
      <c r="C207" s="257"/>
      <c r="D207" s="257"/>
      <c r="E207" s="256"/>
      <c r="F207" s="257"/>
      <c r="G207" s="256"/>
      <c r="H207" s="259"/>
      <c r="I207" s="256">
        <v>78</v>
      </c>
      <c r="J207" s="259">
        <f>I207/I213</f>
        <v>1.8474656560871626E-2</v>
      </c>
      <c r="K207" s="260">
        <v>1665</v>
      </c>
      <c r="L207" s="259">
        <f>K207/K213</f>
        <v>1.8557528337847327E-2</v>
      </c>
      <c r="M207" s="374"/>
      <c r="N207" s="263"/>
      <c r="O207" s="6"/>
    </row>
    <row r="208" spans="1:15" ht="15.6" x14ac:dyDescent="0.3">
      <c r="A208" s="255"/>
      <c r="B208" s="256" t="s">
        <v>167</v>
      </c>
      <c r="C208" s="257"/>
      <c r="D208" s="257"/>
      <c r="E208" s="256"/>
      <c r="F208" s="257"/>
      <c r="G208" s="256"/>
      <c r="H208" s="259"/>
      <c r="I208" s="256">
        <v>63</v>
      </c>
      <c r="J208" s="259">
        <f>I208/I213</f>
        <v>1.4921837991473235E-2</v>
      </c>
      <c r="K208" s="260">
        <v>1237</v>
      </c>
      <c r="L208" s="259">
        <f>K208/K213</f>
        <v>1.3787184717067353E-2</v>
      </c>
      <c r="M208" s="374"/>
      <c r="N208" s="263"/>
      <c r="O208" s="6"/>
    </row>
    <row r="209" spans="1:15" ht="15.6" x14ac:dyDescent="0.3">
      <c r="A209" s="255"/>
      <c r="B209" s="256" t="s">
        <v>168</v>
      </c>
      <c r="C209" s="257"/>
      <c r="D209" s="257"/>
      <c r="E209" s="256"/>
      <c r="F209" s="257"/>
      <c r="G209" s="258"/>
      <c r="H209" s="259"/>
      <c r="I209" s="256">
        <v>59</v>
      </c>
      <c r="J209" s="259">
        <f>I209/I213</f>
        <v>1.3974419706300331E-2</v>
      </c>
      <c r="K209" s="260">
        <v>1334</v>
      </c>
      <c r="L209" s="259">
        <f>K209/K213</f>
        <v>1.4868313995608609E-2</v>
      </c>
      <c r="M209" s="374"/>
      <c r="N209" s="262"/>
      <c r="O209" s="6"/>
    </row>
    <row r="210" spans="1:15" ht="15.6" x14ac:dyDescent="0.3">
      <c r="A210" s="255"/>
      <c r="B210" s="256" t="s">
        <v>169</v>
      </c>
      <c r="C210" s="257"/>
      <c r="D210" s="257"/>
      <c r="E210" s="256"/>
      <c r="F210" s="257"/>
      <c r="G210" s="258"/>
      <c r="H210" s="259"/>
      <c r="I210" s="256">
        <v>62</v>
      </c>
      <c r="J210" s="259">
        <f>I210/I213</f>
        <v>1.4684983420180009E-2</v>
      </c>
      <c r="K210" s="260">
        <v>1433</v>
      </c>
      <c r="L210" s="259">
        <f>K210/K213</f>
        <v>1.5971734599480612E-2</v>
      </c>
      <c r="M210" s="374"/>
      <c r="N210" s="262"/>
      <c r="O210" s="6"/>
    </row>
    <row r="211" spans="1:15" ht="15.6" x14ac:dyDescent="0.3">
      <c r="A211" s="255"/>
      <c r="B211" s="256" t="s">
        <v>176</v>
      </c>
      <c r="C211" s="257"/>
      <c r="D211" s="257"/>
      <c r="E211" s="256"/>
      <c r="F211" s="257"/>
      <c r="G211" s="258"/>
      <c r="H211" s="259"/>
      <c r="I211" s="256">
        <v>124</v>
      </c>
      <c r="J211" s="259">
        <f>I211/I213</f>
        <v>2.9369966840360019E-2</v>
      </c>
      <c r="K211" s="260">
        <v>3137</v>
      </c>
      <c r="L211" s="259">
        <f>K211/K213</f>
        <v>3.4963943781277519E-2</v>
      </c>
      <c r="M211" s="261"/>
      <c r="N211" s="263"/>
      <c r="O211" s="6"/>
    </row>
    <row r="212" spans="1:15" ht="15.6" x14ac:dyDescent="0.3">
      <c r="A212" s="255"/>
      <c r="B212" s="256" t="s">
        <v>202</v>
      </c>
      <c r="C212" s="257"/>
      <c r="D212" s="257"/>
      <c r="E212" s="256"/>
      <c r="F212" s="257"/>
      <c r="G212" s="258"/>
      <c r="H212" s="259"/>
      <c r="I212" s="256">
        <v>100</v>
      </c>
      <c r="J212" s="259">
        <f>+I212/I213</f>
        <v>2.3685457129322594E-2</v>
      </c>
      <c r="K212" s="260">
        <v>2679</v>
      </c>
      <c r="L212" s="259">
        <f>+K212/K213</f>
        <v>2.9859230280536331E-2</v>
      </c>
      <c r="M212" s="261"/>
      <c r="N212" s="263"/>
      <c r="O212" s="6"/>
    </row>
    <row r="213" spans="1:15" ht="15.6" x14ac:dyDescent="0.3">
      <c r="A213" s="255"/>
      <c r="B213" s="258" t="s">
        <v>189</v>
      </c>
      <c r="C213" s="258"/>
      <c r="D213" s="258"/>
      <c r="E213" s="258"/>
      <c r="F213" s="258"/>
      <c r="G213" s="256"/>
      <c r="H213" s="258"/>
      <c r="I213" s="256">
        <f>SUM(I205:I212)</f>
        <v>4222</v>
      </c>
      <c r="J213" s="259">
        <f>SUM(J205:J212)</f>
        <v>1</v>
      </c>
      <c r="K213" s="260">
        <f>SUM(K205:K212)</f>
        <v>89721</v>
      </c>
      <c r="L213" s="259">
        <f>SUM(L205:L212)</f>
        <v>1</v>
      </c>
      <c r="M213" s="258"/>
      <c r="N213" s="264"/>
      <c r="O213" s="6"/>
    </row>
    <row r="214" spans="1:15" ht="15.6" x14ac:dyDescent="0.3">
      <c r="A214" s="255"/>
      <c r="B214" s="256" t="s">
        <v>170</v>
      </c>
      <c r="C214" s="257"/>
      <c r="D214" s="257"/>
      <c r="E214" s="256"/>
      <c r="F214" s="257"/>
      <c r="G214" s="256"/>
      <c r="H214" s="259"/>
      <c r="I214" s="256">
        <v>298</v>
      </c>
      <c r="J214" s="259"/>
      <c r="K214" s="260">
        <v>8159</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1.0865</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JANUARY 2014</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300-000000000000}"/>
    <hyperlink ref="K202" r:id="rId2" xr:uid="{00000000-0004-0000-23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89CB31"/>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41781</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38597.743800000004</v>
      </c>
      <c r="D31" s="345"/>
      <c r="E31" s="344">
        <f>E30*E34</f>
        <v>31118.707199999997</v>
      </c>
      <c r="F31" s="344"/>
      <c r="G31" s="344">
        <f>G30*G34</f>
        <v>20004.8832</v>
      </c>
      <c r="H31" s="346"/>
      <c r="I31" s="346"/>
      <c r="J31" s="346"/>
      <c r="K31" s="346"/>
      <c r="L31" s="347"/>
      <c r="M31" s="344">
        <f>C31+E31+G31</f>
        <v>89721.334199999998</v>
      </c>
      <c r="N31" s="348"/>
      <c r="O31" s="6"/>
    </row>
    <row r="32" spans="1:15" ht="15.6" x14ac:dyDescent="0.3">
      <c r="A32" s="340"/>
      <c r="B32" s="319" t="s">
        <v>16</v>
      </c>
      <c r="C32" s="349">
        <f>C30*C33</f>
        <v>34504.1466</v>
      </c>
      <c r="D32" s="350"/>
      <c r="E32" s="349">
        <f>E30*E33</f>
        <v>31118.707199999997</v>
      </c>
      <c r="F32" s="349"/>
      <c r="G32" s="349">
        <f>G30*G33</f>
        <v>20004.8832</v>
      </c>
      <c r="H32" s="351"/>
      <c r="I32" s="351"/>
      <c r="J32" s="351"/>
      <c r="K32" s="351"/>
      <c r="L32" s="352"/>
      <c r="M32" s="344">
        <f>C32+E32+G32</f>
        <v>85627.736999999994</v>
      </c>
      <c r="N32" s="348"/>
      <c r="O32" s="6"/>
    </row>
    <row r="33" spans="1:15" ht="15.6" x14ac:dyDescent="0.3">
      <c r="A33" s="340"/>
      <c r="B33" s="278" t="s">
        <v>174</v>
      </c>
      <c r="C33" s="371">
        <v>0.14936859999999999</v>
      </c>
      <c r="D33" s="372"/>
      <c r="E33" s="371">
        <v>0.74092159999999996</v>
      </c>
      <c r="F33" s="371"/>
      <c r="G33" s="371">
        <v>0.74092159999999996</v>
      </c>
      <c r="H33" s="373"/>
      <c r="I33" s="373"/>
      <c r="J33" s="351"/>
      <c r="K33" s="351"/>
      <c r="L33" s="352"/>
      <c r="M33" s="351"/>
      <c r="N33" s="348"/>
      <c r="O33" s="6"/>
    </row>
    <row r="34" spans="1:15" ht="15.6" x14ac:dyDescent="0.3">
      <c r="A34" s="340"/>
      <c r="B34" s="278" t="s">
        <v>175</v>
      </c>
      <c r="C34" s="371">
        <v>0.16708980000000001</v>
      </c>
      <c r="D34" s="372"/>
      <c r="E34" s="371">
        <v>0.74092159999999996</v>
      </c>
      <c r="F34" s="371"/>
      <c r="G34" s="371">
        <v>0.74092159999999996</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9.2093999999999995E-3</v>
      </c>
      <c r="D36" s="258"/>
      <c r="E36" s="356">
        <v>2.0209399999999999E-2</v>
      </c>
      <c r="F36" s="304"/>
      <c r="G36" s="356">
        <v>2.52094E-2</v>
      </c>
      <c r="H36" s="304"/>
      <c r="I36" s="356"/>
      <c r="J36" s="304"/>
      <c r="K36" s="356"/>
      <c r="L36" s="321"/>
      <c r="M36" s="304">
        <f>SUMPRODUCT(C36:G36,C31:G31)/M31</f>
        <v>1.6592080120688617E-2</v>
      </c>
      <c r="N36" s="264"/>
      <c r="O36" s="6"/>
    </row>
    <row r="37" spans="1:15" ht="15.6" x14ac:dyDescent="0.3">
      <c r="A37" s="307"/>
      <c r="B37" s="258" t="s">
        <v>19</v>
      </c>
      <c r="C37" s="356">
        <v>9.2405999999999999E-3</v>
      </c>
      <c r="D37" s="258"/>
      <c r="E37" s="356">
        <v>2.0240600000000001E-2</v>
      </c>
      <c r="F37" s="304"/>
      <c r="G37" s="356">
        <v>2.5240599999999998E-2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1.4816651167370127</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41774</v>
      </c>
      <c r="N47" s="264"/>
      <c r="O47" s="6"/>
    </row>
    <row r="48" spans="1:15" ht="15.6" x14ac:dyDescent="0.3">
      <c r="A48" s="307"/>
      <c r="B48" s="258" t="s">
        <v>26</v>
      </c>
      <c r="C48" s="258"/>
      <c r="D48" s="258"/>
      <c r="E48" s="258"/>
      <c r="F48" s="258"/>
      <c r="G48" s="258"/>
      <c r="H48" s="258"/>
      <c r="I48" s="258"/>
      <c r="J48" s="258">
        <f>M48-K48+1</f>
        <v>94</v>
      </c>
      <c r="K48" s="360">
        <v>41593</v>
      </c>
      <c r="L48" s="361"/>
      <c r="M48" s="360">
        <v>41686</v>
      </c>
      <c r="N48" s="264"/>
      <c r="O48" s="6"/>
    </row>
    <row r="49" spans="1:15" ht="15.6" x14ac:dyDescent="0.3">
      <c r="A49" s="307"/>
      <c r="B49" s="258" t="s">
        <v>27</v>
      </c>
      <c r="C49" s="258"/>
      <c r="D49" s="258"/>
      <c r="E49" s="258"/>
      <c r="F49" s="258"/>
      <c r="G49" s="258"/>
      <c r="H49" s="258"/>
      <c r="I49" s="258"/>
      <c r="J49" s="258">
        <f>M49-K49+1</f>
        <v>87</v>
      </c>
      <c r="K49" s="360">
        <v>41687</v>
      </c>
      <c r="L49" s="361"/>
      <c r="M49" s="360">
        <v>41773</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41760</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266</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89721</v>
      </c>
      <c r="F58" s="256"/>
      <c r="G58" s="256">
        <f>3353+740</f>
        <v>4093</v>
      </c>
      <c r="H58" s="256"/>
      <c r="I58" s="256">
        <v>0</v>
      </c>
      <c r="J58" s="256"/>
      <c r="K58" s="256">
        <v>0</v>
      </c>
      <c r="L58" s="256"/>
      <c r="M58" s="260">
        <f>E58-G58+I58-K58</f>
        <v>85628</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89721</v>
      </c>
      <c r="F62" s="256"/>
      <c r="G62" s="256">
        <f>SUM(G58:G61)</f>
        <v>4093</v>
      </c>
      <c r="H62" s="256"/>
      <c r="I62" s="256">
        <f>SUM(I58:I61)</f>
        <v>0</v>
      </c>
      <c r="J62" s="256"/>
      <c r="K62" s="256">
        <f>SUM(K58:K61)</f>
        <v>0</v>
      </c>
      <c r="L62" s="256"/>
      <c r="M62" s="256">
        <f>SUM(M58:M61)</f>
        <v>85628</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89721</v>
      </c>
      <c r="F75" s="256"/>
      <c r="G75" s="256"/>
      <c r="H75" s="256"/>
      <c r="I75" s="256"/>
      <c r="J75" s="256"/>
      <c r="K75" s="256"/>
      <c r="L75" s="256"/>
      <c r="M75" s="256">
        <f>SUM(M62:M74)</f>
        <v>85628</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41759</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4093-740</f>
        <v>3353</v>
      </c>
      <c r="L80" s="258"/>
      <c r="M80" s="260"/>
      <c r="N80" s="264"/>
      <c r="O80" s="6"/>
    </row>
    <row r="81" spans="1:16" ht="15.6" x14ac:dyDescent="0.3">
      <c r="A81" s="307"/>
      <c r="B81" s="258" t="s">
        <v>204</v>
      </c>
      <c r="C81" s="290"/>
      <c r="D81" s="325"/>
      <c r="E81" s="326"/>
      <c r="F81" s="258"/>
      <c r="G81" s="258"/>
      <c r="H81" s="258"/>
      <c r="I81" s="258"/>
      <c r="J81" s="258"/>
      <c r="K81" s="256"/>
      <c r="L81" s="258"/>
      <c r="M81" s="260">
        <f>4139+21-1980</f>
        <v>2180</v>
      </c>
      <c r="N81" s="264"/>
      <c r="O81" s="6"/>
    </row>
    <row r="82" spans="1:16" ht="15.6" x14ac:dyDescent="0.3">
      <c r="A82" s="307"/>
      <c r="B82" s="258" t="s">
        <v>205</v>
      </c>
      <c r="C82" s="290"/>
      <c r="D82" s="325"/>
      <c r="E82" s="326"/>
      <c r="F82" s="258"/>
      <c r="G82" s="258"/>
      <c r="H82" s="258"/>
      <c r="I82" s="258"/>
      <c r="J82" s="258"/>
      <c r="K82" s="256"/>
      <c r="L82" s="258"/>
      <c r="M82" s="260">
        <f>172+2</f>
        <v>174</v>
      </c>
      <c r="N82" s="264"/>
      <c r="O82" s="6"/>
    </row>
    <row r="83" spans="1:16" ht="15.6" x14ac:dyDescent="0.3">
      <c r="A83" s="307"/>
      <c r="B83" s="258" t="s">
        <v>206</v>
      </c>
      <c r="C83" s="290"/>
      <c r="D83" s="325"/>
      <c r="E83" s="326"/>
      <c r="F83" s="258"/>
      <c r="G83" s="258"/>
      <c r="H83" s="258"/>
      <c r="I83" s="258"/>
      <c r="J83" s="258"/>
      <c r="K83" s="256"/>
      <c r="L83" s="258"/>
      <c r="M83" s="260">
        <v>24</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3353</v>
      </c>
      <c r="L85" s="258"/>
      <c r="M85" s="256">
        <f>SUM(M79:M84)</f>
        <v>2378</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3353</v>
      </c>
      <c r="L87" s="258"/>
      <c r="M87" s="256">
        <f>M85+M86</f>
        <v>2378</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-33-41-1</f>
        <v>-75</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-85</v>
      </c>
      <c r="N93" s="311"/>
      <c r="O93" s="6"/>
    </row>
    <row r="94" spans="1:16" ht="15.6" x14ac:dyDescent="0.3">
      <c r="A94" s="255">
        <v>5</v>
      </c>
      <c r="B94" s="258" t="s">
        <v>52</v>
      </c>
      <c r="C94" s="258"/>
      <c r="D94" s="258"/>
      <c r="E94" s="258"/>
      <c r="F94" s="258"/>
      <c r="G94" s="258"/>
      <c r="H94" s="258"/>
      <c r="I94" s="258"/>
      <c r="J94" s="258"/>
      <c r="K94" s="258"/>
      <c r="L94" s="258"/>
      <c r="M94" s="260">
        <v>-150</v>
      </c>
      <c r="N94" s="311"/>
      <c r="O94" s="6"/>
    </row>
    <row r="95" spans="1:16" ht="15.6" x14ac:dyDescent="0.3">
      <c r="A95" s="255">
        <v>6</v>
      </c>
      <c r="B95" s="258" t="s">
        <v>172</v>
      </c>
      <c r="C95" s="258"/>
      <c r="D95" s="258"/>
      <c r="E95" s="258"/>
      <c r="F95" s="258"/>
      <c r="G95" s="258"/>
      <c r="H95" s="258"/>
      <c r="I95" s="258"/>
      <c r="J95" s="258"/>
      <c r="K95" s="258"/>
      <c r="L95" s="258"/>
      <c r="M95" s="260">
        <v>-120</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740</v>
      </c>
      <c r="L97" s="258"/>
      <c r="M97" s="260">
        <v>-740</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-32</v>
      </c>
      <c r="N101" s="311"/>
      <c r="O101" s="6"/>
    </row>
    <row r="102" spans="1:16" ht="15.6" x14ac:dyDescent="0.3">
      <c r="A102" s="255">
        <v>13</v>
      </c>
      <c r="B102" s="258" t="s">
        <v>195</v>
      </c>
      <c r="C102" s="258"/>
      <c r="D102" s="258"/>
      <c r="E102" s="258"/>
      <c r="F102" s="258"/>
      <c r="G102" s="258"/>
      <c r="H102" s="258"/>
      <c r="I102" s="258"/>
      <c r="J102" s="258"/>
      <c r="K102" s="258"/>
      <c r="L102" s="258"/>
      <c r="M102" s="260">
        <f>-M87-SUM(M89:M101)</f>
        <v>-1167</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-4093</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+K105+K106+K107+K108+K109</f>
        <v>-4093</v>
      </c>
      <c r="L110" s="256"/>
      <c r="M110" s="256">
        <f>SUM(M88:M109)</f>
        <v>-2378</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APRIL 2014</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290</v>
      </c>
      <c r="N139" s="264"/>
      <c r="O139" s="6"/>
    </row>
    <row r="140" spans="1:15" ht="15.6" x14ac:dyDescent="0.3">
      <c r="A140" s="307"/>
      <c r="B140" s="258" t="s">
        <v>180</v>
      </c>
      <c r="C140" s="258"/>
      <c r="D140" s="258"/>
      <c r="E140" s="258"/>
      <c r="F140" s="258"/>
      <c r="G140" s="258"/>
      <c r="H140" s="258"/>
      <c r="I140" s="258"/>
      <c r="J140" s="258"/>
      <c r="K140" s="258"/>
      <c r="L140" s="258"/>
      <c r="M140" s="260">
        <f>346+104</f>
        <v>450</v>
      </c>
      <c r="N140" s="264"/>
      <c r="O140" s="6"/>
    </row>
    <row r="141" spans="1:15" ht="15.6" x14ac:dyDescent="0.3">
      <c r="A141" s="307"/>
      <c r="B141" s="258" t="s">
        <v>77</v>
      </c>
      <c r="C141" s="258"/>
      <c r="D141" s="258"/>
      <c r="E141" s="258"/>
      <c r="F141" s="258"/>
      <c r="G141" s="258"/>
      <c r="H141" s="258"/>
      <c r="I141" s="258"/>
      <c r="J141" s="258"/>
      <c r="K141" s="258"/>
      <c r="L141" s="258"/>
      <c r="M141" s="260">
        <f>M139+M138+M140</f>
        <v>740</v>
      </c>
      <c r="N141" s="264"/>
      <c r="O141" s="6"/>
    </row>
    <row r="142" spans="1:15" ht="15.6" x14ac:dyDescent="0.3">
      <c r="A142" s="307"/>
      <c r="B142" s="258" t="s">
        <v>183</v>
      </c>
      <c r="C142" s="258"/>
      <c r="D142" s="258"/>
      <c r="E142" s="258"/>
      <c r="F142" s="258"/>
      <c r="G142" s="258"/>
      <c r="H142" s="258"/>
      <c r="I142" s="303"/>
      <c r="J142" s="258"/>
      <c r="K142" s="258"/>
      <c r="L142" s="258"/>
      <c r="M142" s="260">
        <f>M97</f>
        <v>-740</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85628</v>
      </c>
      <c r="N148" s="318"/>
      <c r="O148" s="6"/>
      <c r="P148" s="117"/>
    </row>
    <row r="149" spans="1:16" ht="15.6" x14ac:dyDescent="0.3">
      <c r="A149" s="307"/>
      <c r="B149" s="258" t="s">
        <v>80</v>
      </c>
      <c r="C149" s="319"/>
      <c r="D149" s="319"/>
      <c r="E149" s="258"/>
      <c r="F149" s="258"/>
      <c r="G149" s="258"/>
      <c r="H149" s="258"/>
      <c r="I149" s="258"/>
      <c r="J149" s="258"/>
      <c r="K149" s="258"/>
      <c r="L149" s="258"/>
      <c r="M149" s="260">
        <f>M75</f>
        <v>85628</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+'Jan 14'!I156</f>
        <v>7636</v>
      </c>
      <c r="J154" s="258"/>
      <c r="K154" s="260">
        <f>+'Jan 14'!K156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27.070588235294117</v>
      </c>
      <c r="N161" s="264" t="s">
        <v>145</v>
      </c>
      <c r="O161" s="6"/>
    </row>
    <row r="162" spans="1:15" ht="15.6" x14ac:dyDescent="0.3">
      <c r="A162" s="307"/>
      <c r="B162" s="258" t="s">
        <v>89</v>
      </c>
      <c r="C162" s="258"/>
      <c r="D162" s="258"/>
      <c r="E162" s="258"/>
      <c r="F162" s="258"/>
      <c r="G162" s="258"/>
      <c r="H162" s="258"/>
      <c r="I162" s="258"/>
      <c r="J162" s="258"/>
      <c r="K162" s="258"/>
      <c r="L162" s="258"/>
      <c r="M162" s="309">
        <v>3.55</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14.773333333333333</v>
      </c>
      <c r="N163" s="264" t="s">
        <v>145</v>
      </c>
      <c r="O163" s="6"/>
    </row>
    <row r="164" spans="1:15" ht="15.6" x14ac:dyDescent="0.3">
      <c r="A164" s="307"/>
      <c r="B164" s="258" t="s">
        <v>91</v>
      </c>
      <c r="C164" s="258"/>
      <c r="D164" s="258"/>
      <c r="E164" s="258"/>
      <c r="F164" s="258"/>
      <c r="G164" s="258"/>
      <c r="H164" s="258"/>
      <c r="I164" s="258"/>
      <c r="J164" s="258"/>
      <c r="K164" s="258"/>
      <c r="L164" s="258"/>
      <c r="M164" s="310">
        <v>9.75</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17.216666666666665</v>
      </c>
      <c r="N165" s="264" t="s">
        <v>145</v>
      </c>
      <c r="O165" s="6"/>
    </row>
    <row r="166" spans="1:15" ht="15.6" x14ac:dyDescent="0.3">
      <c r="A166" s="307"/>
      <c r="B166" s="258" t="s">
        <v>182</v>
      </c>
      <c r="C166" s="258"/>
      <c r="D166" s="258"/>
      <c r="E166" s="258"/>
      <c r="F166" s="258"/>
      <c r="G166" s="258"/>
      <c r="H166" s="258"/>
      <c r="I166" s="258"/>
      <c r="J166" s="258"/>
      <c r="K166" s="258"/>
      <c r="L166" s="258"/>
      <c r="M166" s="310">
        <v>12.49</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APRIL 2014</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41759</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9.5399999999999999E-2</v>
      </c>
      <c r="L176" s="258"/>
      <c r="M176" s="258"/>
      <c r="N176" s="264"/>
      <c r="O176" s="6"/>
    </row>
    <row r="177" spans="1:15" ht="15.6" x14ac:dyDescent="0.3">
      <c r="A177" s="301"/>
      <c r="B177" s="258" t="s">
        <v>97</v>
      </c>
      <c r="C177" s="302"/>
      <c r="D177" s="302"/>
      <c r="E177" s="302"/>
      <c r="F177" s="302"/>
      <c r="G177" s="302"/>
      <c r="H177" s="303"/>
      <c r="I177" s="303"/>
      <c r="J177" s="303"/>
      <c r="K177" s="304">
        <f>M36</f>
        <v>1.6592080120688617E-2</v>
      </c>
      <c r="L177" s="258"/>
      <c r="M177" s="258"/>
      <c r="N177" s="264"/>
      <c r="O177" s="6"/>
    </row>
    <row r="178" spans="1:15" ht="15.6" x14ac:dyDescent="0.3">
      <c r="A178" s="301"/>
      <c r="B178" s="258" t="s">
        <v>98</v>
      </c>
      <c r="C178" s="302"/>
      <c r="D178" s="302"/>
      <c r="E178" s="302"/>
      <c r="F178" s="302"/>
      <c r="G178" s="302"/>
      <c r="H178" s="303"/>
      <c r="I178" s="303"/>
      <c r="J178" s="303"/>
      <c r="K178" s="304">
        <f>K176-K177</f>
        <v>7.8807919879311378E-2</v>
      </c>
      <c r="L178" s="258"/>
      <c r="M178" s="258"/>
      <c r="N178" s="264"/>
      <c r="O178" s="6"/>
    </row>
    <row r="179" spans="1:15" ht="15.6" x14ac:dyDescent="0.3">
      <c r="A179" s="301"/>
      <c r="B179" s="258" t="s">
        <v>211</v>
      </c>
      <c r="C179" s="302"/>
      <c r="D179" s="302"/>
      <c r="E179" s="302"/>
      <c r="F179" s="302"/>
      <c r="G179" s="302"/>
      <c r="H179" s="303"/>
      <c r="I179" s="303"/>
      <c r="J179" s="303"/>
      <c r="K179" s="304">
        <f>(+M87+M89)/E58</f>
        <v>2.6504385818258824E-2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11.86</v>
      </c>
      <c r="L184" s="258" t="s">
        <v>139</v>
      </c>
      <c r="M184" s="258"/>
      <c r="N184" s="264"/>
      <c r="O184" s="6"/>
    </row>
    <row r="185" spans="1:15" ht="15.6" x14ac:dyDescent="0.3">
      <c r="A185" s="301"/>
      <c r="B185" s="258" t="s">
        <v>103</v>
      </c>
      <c r="C185" s="302"/>
      <c r="D185" s="302"/>
      <c r="E185" s="302"/>
      <c r="F185" s="302"/>
      <c r="G185" s="302"/>
      <c r="H185" s="303"/>
      <c r="I185" s="303"/>
      <c r="J185" s="303"/>
      <c r="K185" s="304">
        <f>K80/E58</f>
        <v>3.7371406916998251E-2</v>
      </c>
      <c r="L185" s="258"/>
      <c r="M185" s="258"/>
      <c r="N185" s="264"/>
      <c r="O185" s="6"/>
    </row>
    <row r="186" spans="1:15" ht="15.6" x14ac:dyDescent="0.3">
      <c r="A186" s="301"/>
      <c r="B186" s="258" t="s">
        <v>104</v>
      </c>
      <c r="C186" s="302"/>
      <c r="D186" s="302"/>
      <c r="E186" s="302"/>
      <c r="F186" s="302"/>
      <c r="G186" s="302"/>
      <c r="H186" s="303"/>
      <c r="I186" s="303"/>
      <c r="J186" s="303"/>
      <c r="K186" s="304">
        <v>0.2361</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581</v>
      </c>
      <c r="K189" s="369">
        <v>12864</v>
      </c>
      <c r="L189" s="217"/>
      <c r="M189" s="229"/>
      <c r="N189" s="230"/>
      <c r="O189" s="6"/>
    </row>
    <row r="190" spans="1:15" ht="15.6" x14ac:dyDescent="0.3">
      <c r="A190" s="275"/>
      <c r="B190" s="258" t="s">
        <v>196</v>
      </c>
      <c r="C190" s="256"/>
      <c r="D190" s="256"/>
      <c r="E190" s="256"/>
      <c r="F190" s="256"/>
      <c r="G190" s="258"/>
      <c r="H190" s="258"/>
      <c r="I190" s="258"/>
      <c r="J190" s="276">
        <v>1</v>
      </c>
      <c r="K190" s="277">
        <v>33</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740</v>
      </c>
      <c r="L194" s="258"/>
      <c r="M194" s="281"/>
      <c r="N194" s="286"/>
      <c r="O194" s="6"/>
    </row>
    <row r="195" spans="1:15" ht="15.6" x14ac:dyDescent="0.3">
      <c r="A195" s="275"/>
      <c r="B195" s="258" t="s">
        <v>111</v>
      </c>
      <c r="C195" s="256"/>
      <c r="D195" s="256"/>
      <c r="E195" s="256"/>
      <c r="F195" s="256"/>
      <c r="G195" s="256"/>
      <c r="H195" s="258"/>
      <c r="I195" s="258"/>
      <c r="J195" s="258"/>
      <c r="K195" s="375">
        <f>'Jan 14'!K195+'April 14'!K194</f>
        <v>35942</v>
      </c>
      <c r="L195" s="258"/>
      <c r="M195" s="281"/>
      <c r="N195" s="286"/>
      <c r="O195" s="6"/>
    </row>
    <row r="196" spans="1:15" ht="15.6" x14ac:dyDescent="0.3">
      <c r="A196" s="275"/>
      <c r="B196" s="258" t="s">
        <v>112</v>
      </c>
      <c r="C196" s="256"/>
      <c r="D196" s="256"/>
      <c r="E196" s="256"/>
      <c r="F196" s="256"/>
      <c r="G196" s="256"/>
      <c r="H196" s="258"/>
      <c r="I196" s="258"/>
      <c r="J196" s="258"/>
      <c r="K196" s="375">
        <f>'Jan 14'!K196+413</f>
        <v>11438</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277">
        <v>4</v>
      </c>
      <c r="L198" s="258"/>
      <c r="M198" s="261"/>
      <c r="N198" s="286"/>
      <c r="O198" s="6"/>
    </row>
    <row r="199" spans="1:15" ht="15.6" x14ac:dyDescent="0.3">
      <c r="A199" s="275"/>
      <c r="B199" s="258" t="s">
        <v>113</v>
      </c>
      <c r="C199" s="256"/>
      <c r="D199" s="256"/>
      <c r="E199" s="290"/>
      <c r="F199" s="290"/>
      <c r="G199" s="291"/>
      <c r="H199" s="258"/>
      <c r="I199" s="258"/>
      <c r="J199" s="258"/>
      <c r="K199" s="292">
        <v>27.92</v>
      </c>
      <c r="L199" s="258"/>
      <c r="M199" s="261"/>
      <c r="N199" s="286"/>
      <c r="O199" s="6"/>
    </row>
    <row r="200" spans="1:15" ht="15.6" x14ac:dyDescent="0.3">
      <c r="A200" s="275"/>
      <c r="B200" s="258" t="s">
        <v>114</v>
      </c>
      <c r="C200" s="256"/>
      <c r="D200" s="256"/>
      <c r="E200" s="290"/>
      <c r="F200" s="290"/>
      <c r="G200" s="291"/>
      <c r="H200" s="258"/>
      <c r="I200" s="258"/>
      <c r="J200" s="258"/>
      <c r="K200" s="292">
        <v>4.62</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3490</v>
      </c>
      <c r="J205" s="232">
        <f>I205/I213</f>
        <v>0.85728322279538194</v>
      </c>
      <c r="K205" s="221">
        <v>72764</v>
      </c>
      <c r="L205" s="232">
        <f>K205/K213</f>
        <v>0.84976876722567385</v>
      </c>
      <c r="M205" s="228"/>
      <c r="N205" s="218"/>
      <c r="O205" s="6"/>
    </row>
    <row r="206" spans="1:15" ht="15.6" x14ac:dyDescent="0.3">
      <c r="A206" s="255"/>
      <c r="B206" s="256" t="s">
        <v>117</v>
      </c>
      <c r="C206" s="257"/>
      <c r="D206" s="257"/>
      <c r="E206" s="256"/>
      <c r="F206" s="257"/>
      <c r="G206" s="258"/>
      <c r="H206" s="259"/>
      <c r="I206" s="256">
        <v>123</v>
      </c>
      <c r="J206" s="259">
        <f>I206/I213</f>
        <v>3.021370670596905E-2</v>
      </c>
      <c r="K206" s="260">
        <v>2336</v>
      </c>
      <c r="L206" s="259">
        <f>K206/K213</f>
        <v>2.7280796001307984E-2</v>
      </c>
      <c r="M206" s="261"/>
      <c r="N206" s="263"/>
      <c r="O206" s="6"/>
    </row>
    <row r="207" spans="1:15" ht="15.6" x14ac:dyDescent="0.3">
      <c r="A207" s="255"/>
      <c r="B207" s="256" t="s">
        <v>118</v>
      </c>
      <c r="C207" s="257"/>
      <c r="D207" s="257"/>
      <c r="E207" s="256"/>
      <c r="F207" s="257"/>
      <c r="G207" s="256"/>
      <c r="H207" s="259"/>
      <c r="I207" s="256">
        <v>85</v>
      </c>
      <c r="J207" s="259">
        <f>I207/I213</f>
        <v>2.0879390813068041E-2</v>
      </c>
      <c r="K207" s="260">
        <v>1821</v>
      </c>
      <c r="L207" s="259">
        <f>K207/K213</f>
        <v>2.1266408184238802E-2</v>
      </c>
      <c r="M207" s="374"/>
      <c r="N207" s="263"/>
      <c r="O207" s="6"/>
    </row>
    <row r="208" spans="1:15" ht="15.6" x14ac:dyDescent="0.3">
      <c r="A208" s="255"/>
      <c r="B208" s="256" t="s">
        <v>167</v>
      </c>
      <c r="C208" s="257"/>
      <c r="D208" s="257"/>
      <c r="E208" s="256"/>
      <c r="F208" s="257"/>
      <c r="G208" s="256"/>
      <c r="H208" s="259"/>
      <c r="I208" s="256">
        <v>65</v>
      </c>
      <c r="J208" s="259">
        <f>I208/I213</f>
        <v>1.596659297469909E-2</v>
      </c>
      <c r="K208" s="260">
        <v>1264</v>
      </c>
      <c r="L208" s="259">
        <f>K208/K213</f>
        <v>1.4761526603447471E-2</v>
      </c>
      <c r="M208" s="374"/>
      <c r="N208" s="263"/>
      <c r="O208" s="6"/>
    </row>
    <row r="209" spans="1:15" ht="15.6" x14ac:dyDescent="0.3">
      <c r="A209" s="255"/>
      <c r="B209" s="256" t="s">
        <v>168</v>
      </c>
      <c r="C209" s="257"/>
      <c r="D209" s="257"/>
      <c r="E209" s="256"/>
      <c r="F209" s="257"/>
      <c r="G209" s="258"/>
      <c r="H209" s="259"/>
      <c r="I209" s="256">
        <v>52</v>
      </c>
      <c r="J209" s="259">
        <f>I209/I213</f>
        <v>1.2773274379759274E-2</v>
      </c>
      <c r="K209" s="260">
        <v>1207</v>
      </c>
      <c r="L209" s="259">
        <f>K209/K213</f>
        <v>1.4095856495538843E-2</v>
      </c>
      <c r="M209" s="374"/>
      <c r="N209" s="262"/>
      <c r="O209" s="6"/>
    </row>
    <row r="210" spans="1:15" ht="15.6" x14ac:dyDescent="0.3">
      <c r="A210" s="255"/>
      <c r="B210" s="256" t="s">
        <v>169</v>
      </c>
      <c r="C210" s="257"/>
      <c r="D210" s="257"/>
      <c r="E210" s="256"/>
      <c r="F210" s="257"/>
      <c r="G210" s="258"/>
      <c r="H210" s="259"/>
      <c r="I210" s="256">
        <v>42</v>
      </c>
      <c r="J210" s="259">
        <f>I210/I213</f>
        <v>1.0316875460574797E-2</v>
      </c>
      <c r="K210" s="260">
        <v>902</v>
      </c>
      <c r="L210" s="259">
        <f>K210/K213</f>
        <v>1.0533937497080394E-2</v>
      </c>
      <c r="M210" s="374"/>
      <c r="N210" s="262"/>
      <c r="O210" s="6"/>
    </row>
    <row r="211" spans="1:15" ht="15.6" x14ac:dyDescent="0.3">
      <c r="A211" s="255"/>
      <c r="B211" s="256" t="s">
        <v>176</v>
      </c>
      <c r="C211" s="257"/>
      <c r="D211" s="257"/>
      <c r="E211" s="256"/>
      <c r="F211" s="257"/>
      <c r="G211" s="258"/>
      <c r="H211" s="259"/>
      <c r="I211" s="256">
        <v>119</v>
      </c>
      <c r="J211" s="259">
        <f>I211/I213</f>
        <v>2.923114713829526E-2</v>
      </c>
      <c r="K211" s="260">
        <v>2834</v>
      </c>
      <c r="L211" s="259">
        <f>K211/K213</f>
        <v>3.3096650628299154E-2</v>
      </c>
      <c r="M211" s="261"/>
      <c r="N211" s="263"/>
      <c r="O211" s="6"/>
    </row>
    <row r="212" spans="1:15" ht="15.6" x14ac:dyDescent="0.3">
      <c r="A212" s="255"/>
      <c r="B212" s="256" t="s">
        <v>202</v>
      </c>
      <c r="C212" s="257"/>
      <c r="D212" s="257"/>
      <c r="E212" s="256"/>
      <c r="F212" s="257"/>
      <c r="G212" s="258"/>
      <c r="H212" s="259"/>
      <c r="I212" s="256">
        <v>95</v>
      </c>
      <c r="J212" s="259">
        <f>+I212/I213</f>
        <v>2.3335789732252518E-2</v>
      </c>
      <c r="K212" s="260">
        <v>2500</v>
      </c>
      <c r="L212" s="259">
        <f>+K212/K213</f>
        <v>2.9196057364413511E-2</v>
      </c>
      <c r="M212" s="261"/>
      <c r="N212" s="263"/>
      <c r="O212" s="6"/>
    </row>
    <row r="213" spans="1:15" ht="15.6" x14ac:dyDescent="0.3">
      <c r="A213" s="255"/>
      <c r="B213" s="258" t="s">
        <v>189</v>
      </c>
      <c r="C213" s="258"/>
      <c r="D213" s="258"/>
      <c r="E213" s="258"/>
      <c r="F213" s="258"/>
      <c r="G213" s="256"/>
      <c r="H213" s="258"/>
      <c r="I213" s="256">
        <f>SUM(I205:I212)</f>
        <v>4071</v>
      </c>
      <c r="J213" s="259">
        <f>SUM(J205:J212)</f>
        <v>0.99999999999999978</v>
      </c>
      <c r="K213" s="260">
        <f>SUM(K205:K212)</f>
        <v>85628</v>
      </c>
      <c r="L213" s="259">
        <f>SUM(L205:L212)</f>
        <v>0.99999999999999989</v>
      </c>
      <c r="M213" s="258"/>
      <c r="N213" s="264"/>
      <c r="O213" s="6"/>
    </row>
    <row r="214" spans="1:15" ht="15.6" x14ac:dyDescent="0.3">
      <c r="A214" s="255"/>
      <c r="B214" s="256" t="s">
        <v>170</v>
      </c>
      <c r="C214" s="257"/>
      <c r="D214" s="257"/>
      <c r="E214" s="256"/>
      <c r="F214" s="257"/>
      <c r="G214" s="256"/>
      <c r="H214" s="259"/>
      <c r="I214" s="256">
        <v>301</v>
      </c>
      <c r="J214" s="259"/>
      <c r="K214" s="260">
        <v>8449</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1.0790999999999999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APRIL 2014</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400-000000000000}"/>
    <hyperlink ref="K202" r:id="rId2" xr:uid="{00000000-0004-0000-24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2D2926"/>
  </sheetPr>
  <dimension ref="A1:P227"/>
  <sheetViews>
    <sheetView showOutlineSymbols="0" zoomScale="70" zoomScaleNormal="70" workbookViewId="0">
      <selection activeCell="C47" activeCellId="1" sqref="A1 C47"/>
    </sheetView>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41871</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34504.1466</v>
      </c>
      <c r="D31" s="345"/>
      <c r="E31" s="344">
        <f>E30*E34</f>
        <v>31118.707199999997</v>
      </c>
      <c r="F31" s="344"/>
      <c r="G31" s="344">
        <f>G30*G34</f>
        <v>20004.8832</v>
      </c>
      <c r="H31" s="346"/>
      <c r="I31" s="346"/>
      <c r="J31" s="346"/>
      <c r="K31" s="346"/>
      <c r="L31" s="347"/>
      <c r="M31" s="344">
        <f>C31+E31+G31</f>
        <v>85627.736999999994</v>
      </c>
      <c r="N31" s="348"/>
      <c r="O31" s="6"/>
    </row>
    <row r="32" spans="1:15" ht="15.6" x14ac:dyDescent="0.3">
      <c r="A32" s="340"/>
      <c r="B32" s="319" t="s">
        <v>16</v>
      </c>
      <c r="C32" s="349">
        <f>C30*C33</f>
        <v>34504.1466</v>
      </c>
      <c r="D32" s="350"/>
      <c r="E32" s="349">
        <f>E30*E33</f>
        <v>28291.947600000003</v>
      </c>
      <c r="F32" s="349"/>
      <c r="G32" s="349">
        <f>G30*G33</f>
        <v>18187.6806</v>
      </c>
      <c r="H32" s="351"/>
      <c r="I32" s="351"/>
      <c r="J32" s="351"/>
      <c r="K32" s="351"/>
      <c r="L32" s="352"/>
      <c r="M32" s="344">
        <f>C32+E32+G32</f>
        <v>80983.774800000014</v>
      </c>
      <c r="N32" s="348"/>
      <c r="O32" s="6"/>
    </row>
    <row r="33" spans="1:15" ht="15.6" x14ac:dyDescent="0.3">
      <c r="A33" s="340"/>
      <c r="B33" s="278" t="s">
        <v>174</v>
      </c>
      <c r="C33" s="371">
        <v>0.14936859999999999</v>
      </c>
      <c r="D33" s="372"/>
      <c r="E33" s="371">
        <v>0.67361780000000004</v>
      </c>
      <c r="F33" s="371"/>
      <c r="G33" s="371">
        <v>0.67361780000000004</v>
      </c>
      <c r="H33" s="373"/>
      <c r="I33" s="373"/>
      <c r="J33" s="351"/>
      <c r="K33" s="351"/>
      <c r="L33" s="352"/>
      <c r="M33" s="351"/>
      <c r="N33" s="348"/>
      <c r="O33" s="6"/>
    </row>
    <row r="34" spans="1:15" ht="15.6" x14ac:dyDescent="0.3">
      <c r="A34" s="340"/>
      <c r="B34" s="278" t="s">
        <v>175</v>
      </c>
      <c r="C34" s="371">
        <v>0.14936859999999999</v>
      </c>
      <c r="D34" s="372"/>
      <c r="E34" s="371">
        <v>0.74092159999999996</v>
      </c>
      <c r="F34" s="371"/>
      <c r="G34" s="371">
        <v>0.74092159999999996</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9.2505999999999994E-3</v>
      </c>
      <c r="D36" s="258"/>
      <c r="E36" s="356">
        <v>2.0250600000000001E-2</v>
      </c>
      <c r="F36" s="304"/>
      <c r="G36" s="356">
        <v>2.5250600000000002E-2</v>
      </c>
      <c r="H36" s="304"/>
      <c r="I36" s="356"/>
      <c r="J36" s="304"/>
      <c r="K36" s="356"/>
      <c r="L36" s="321"/>
      <c r="M36" s="304">
        <f>SUMPRODUCT(C36:G36,C31:G31)/M31</f>
        <v>1.6986223217509533E-2</v>
      </c>
      <c r="N36" s="264"/>
      <c r="O36" s="6"/>
    </row>
    <row r="37" spans="1:15" ht="15.6" x14ac:dyDescent="0.3">
      <c r="A37" s="307"/>
      <c r="B37" s="258" t="s">
        <v>19</v>
      </c>
      <c r="C37" s="356">
        <v>9.2093999999999995E-3</v>
      </c>
      <c r="D37" s="258"/>
      <c r="E37" s="356">
        <v>2.0209399999999999E-2</v>
      </c>
      <c r="F37" s="304"/>
      <c r="G37" s="356">
        <v>2.52094E-2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1.347073693455731</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41866</v>
      </c>
      <c r="N47" s="264"/>
      <c r="O47" s="6"/>
    </row>
    <row r="48" spans="1:15" ht="15.6" x14ac:dyDescent="0.3">
      <c r="A48" s="307"/>
      <c r="B48" s="258" t="s">
        <v>26</v>
      </c>
      <c r="C48" s="258"/>
      <c r="D48" s="258"/>
      <c r="E48" s="258"/>
      <c r="F48" s="258"/>
      <c r="G48" s="258"/>
      <c r="H48" s="258"/>
      <c r="I48" s="258"/>
      <c r="J48" s="258">
        <f>M48-K48+1</f>
        <v>87</v>
      </c>
      <c r="K48" s="360">
        <v>41687</v>
      </c>
      <c r="L48" s="361"/>
      <c r="M48" s="360">
        <v>41773</v>
      </c>
      <c r="N48" s="264"/>
      <c r="O48" s="6"/>
    </row>
    <row r="49" spans="1:15" ht="15.6" x14ac:dyDescent="0.3">
      <c r="A49" s="307"/>
      <c r="B49" s="258" t="s">
        <v>27</v>
      </c>
      <c r="C49" s="258"/>
      <c r="D49" s="258"/>
      <c r="E49" s="258"/>
      <c r="F49" s="258"/>
      <c r="G49" s="258"/>
      <c r="H49" s="258"/>
      <c r="I49" s="258"/>
      <c r="J49" s="258">
        <f>M49-K49+1</f>
        <v>92</v>
      </c>
      <c r="K49" s="360">
        <v>41774</v>
      </c>
      <c r="L49" s="361"/>
      <c r="M49" s="360">
        <v>41865</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41852</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267</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85628</v>
      </c>
      <c r="F58" s="256"/>
      <c r="G58" s="256">
        <f>4021+623</f>
        <v>4644</v>
      </c>
      <c r="H58" s="256"/>
      <c r="I58" s="256">
        <v>0</v>
      </c>
      <c r="J58" s="256"/>
      <c r="K58" s="256">
        <v>0</v>
      </c>
      <c r="L58" s="256"/>
      <c r="M58" s="260">
        <f>E58-G58+I58-K58</f>
        <v>80984</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85628</v>
      </c>
      <c r="F62" s="256"/>
      <c r="G62" s="256">
        <f>SUM(G58:G61)</f>
        <v>4644</v>
      </c>
      <c r="H62" s="256"/>
      <c r="I62" s="256">
        <f>SUM(I58:I61)</f>
        <v>0</v>
      </c>
      <c r="J62" s="256"/>
      <c r="K62" s="256">
        <f>SUM(K58:K61)</f>
        <v>0</v>
      </c>
      <c r="L62" s="256"/>
      <c r="M62" s="256">
        <f>SUM(M58:M61)</f>
        <v>80984</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85628</v>
      </c>
      <c r="F75" s="256"/>
      <c r="G75" s="256"/>
      <c r="H75" s="256"/>
      <c r="I75" s="256"/>
      <c r="J75" s="256"/>
      <c r="K75" s="256"/>
      <c r="L75" s="256"/>
      <c r="M75" s="256">
        <f>SUM(M62:M74)</f>
        <v>80984</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v>41851</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4644-623</f>
        <v>4021</v>
      </c>
      <c r="L80" s="258"/>
      <c r="M80" s="260"/>
      <c r="N80" s="264"/>
      <c r="O80" s="6"/>
    </row>
    <row r="81" spans="1:16" ht="15.6" x14ac:dyDescent="0.3">
      <c r="A81" s="307"/>
      <c r="B81" s="258" t="s">
        <v>204</v>
      </c>
      <c r="C81" s="290"/>
      <c r="D81" s="325"/>
      <c r="E81" s="326"/>
      <c r="F81" s="258"/>
      <c r="G81" s="258"/>
      <c r="H81" s="258"/>
      <c r="I81" s="258"/>
      <c r="J81" s="258"/>
      <c r="K81" s="256"/>
      <c r="L81" s="258"/>
      <c r="M81" s="260">
        <f>4203+8-2195</f>
        <v>2016</v>
      </c>
      <c r="N81" s="264"/>
      <c r="O81" s="6"/>
    </row>
    <row r="82" spans="1:16" ht="15.6" x14ac:dyDescent="0.3">
      <c r="A82" s="307"/>
      <c r="B82" s="258" t="s">
        <v>205</v>
      </c>
      <c r="C82" s="290"/>
      <c r="D82" s="325"/>
      <c r="E82" s="326"/>
      <c r="F82" s="258"/>
      <c r="G82" s="258"/>
      <c r="H82" s="258"/>
      <c r="I82" s="258"/>
      <c r="J82" s="258"/>
      <c r="K82" s="256"/>
      <c r="L82" s="258"/>
      <c r="M82" s="260">
        <v>282</v>
      </c>
      <c r="N82" s="264"/>
      <c r="O82" s="6"/>
    </row>
    <row r="83" spans="1:16" ht="15.6" x14ac:dyDescent="0.3">
      <c r="A83" s="307"/>
      <c r="B83" s="258" t="s">
        <v>206</v>
      </c>
      <c r="C83" s="290"/>
      <c r="D83" s="325"/>
      <c r="E83" s="326"/>
      <c r="F83" s="258"/>
      <c r="G83" s="258"/>
      <c r="H83" s="258"/>
      <c r="I83" s="258"/>
      <c r="J83" s="258"/>
      <c r="K83" s="256"/>
      <c r="L83" s="258"/>
      <c r="M83" s="260">
        <v>22</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4021</v>
      </c>
      <c r="L85" s="258"/>
      <c r="M85" s="256">
        <f>SUM(M79:M84)</f>
        <v>2320</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4021</v>
      </c>
      <c r="L87" s="258"/>
      <c r="M87" s="256">
        <f>M85+M86</f>
        <v>2320</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-33-18-1</f>
        <v>-52</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-80</v>
      </c>
      <c r="N93" s="311"/>
      <c r="O93" s="6"/>
    </row>
    <row r="94" spans="1:16" ht="15.6" x14ac:dyDescent="0.3">
      <c r="A94" s="255">
        <v>5</v>
      </c>
      <c r="B94" s="258" t="s">
        <v>52</v>
      </c>
      <c r="C94" s="258"/>
      <c r="D94" s="258"/>
      <c r="E94" s="258"/>
      <c r="F94" s="258"/>
      <c r="G94" s="258"/>
      <c r="H94" s="258"/>
      <c r="I94" s="258"/>
      <c r="J94" s="258"/>
      <c r="K94" s="258"/>
      <c r="L94" s="258"/>
      <c r="M94" s="260">
        <v>-159</v>
      </c>
      <c r="N94" s="311"/>
      <c r="O94" s="6"/>
    </row>
    <row r="95" spans="1:16" ht="15.6" x14ac:dyDescent="0.3">
      <c r="A95" s="255">
        <v>6</v>
      </c>
      <c r="B95" s="258" t="s">
        <v>172</v>
      </c>
      <c r="C95" s="258"/>
      <c r="D95" s="258"/>
      <c r="E95" s="258"/>
      <c r="F95" s="258"/>
      <c r="G95" s="258"/>
      <c r="H95" s="258"/>
      <c r="I95" s="258"/>
      <c r="J95" s="258"/>
      <c r="K95" s="258"/>
      <c r="L95" s="258"/>
      <c r="M95" s="260">
        <v>-127</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623</v>
      </c>
      <c r="L97" s="258"/>
      <c r="M97" s="260">
        <v>-623</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-32</v>
      </c>
      <c r="N101" s="311"/>
      <c r="O101" s="6"/>
    </row>
    <row r="102" spans="1:16" ht="15.6" x14ac:dyDescent="0.3">
      <c r="A102" s="255">
        <v>13</v>
      </c>
      <c r="B102" s="258" t="s">
        <v>195</v>
      </c>
      <c r="C102" s="258"/>
      <c r="D102" s="258"/>
      <c r="E102" s="258"/>
      <c r="F102" s="258"/>
      <c r="G102" s="258"/>
      <c r="H102" s="258"/>
      <c r="I102" s="258"/>
      <c r="J102" s="258"/>
      <c r="K102" s="258"/>
      <c r="L102" s="258"/>
      <c r="M102" s="260">
        <f>-M87-SUM(M89:M101)</f>
        <v>-1238</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0</v>
      </c>
      <c r="L107" s="256"/>
      <c r="M107" s="260"/>
      <c r="N107" s="311"/>
      <c r="O107" s="6"/>
    </row>
    <row r="108" spans="1:16" ht="15.6" x14ac:dyDescent="0.3">
      <c r="A108" s="307"/>
      <c r="B108" s="258" t="s">
        <v>59</v>
      </c>
      <c r="C108" s="258"/>
      <c r="D108" s="258"/>
      <c r="E108" s="258"/>
      <c r="F108" s="258"/>
      <c r="G108" s="258"/>
      <c r="H108" s="258"/>
      <c r="I108" s="258"/>
      <c r="J108" s="258"/>
      <c r="K108" s="256">
        <v>-2827</v>
      </c>
      <c r="L108" s="256"/>
      <c r="M108" s="260"/>
      <c r="N108" s="311"/>
      <c r="O108" s="6"/>
    </row>
    <row r="109" spans="1:16" ht="15.6" x14ac:dyDescent="0.3">
      <c r="A109" s="307"/>
      <c r="B109" s="258" t="s">
        <v>186</v>
      </c>
      <c r="C109" s="258"/>
      <c r="D109" s="258"/>
      <c r="E109" s="258"/>
      <c r="F109" s="258"/>
      <c r="G109" s="258"/>
      <c r="H109" s="258"/>
      <c r="I109" s="258"/>
      <c r="J109" s="258"/>
      <c r="K109" s="256">
        <v>-1817</v>
      </c>
      <c r="L109" s="256"/>
      <c r="M109" s="260"/>
      <c r="N109" s="311"/>
      <c r="O109" s="6"/>
    </row>
    <row r="110" spans="1:16" ht="15.6" x14ac:dyDescent="0.3">
      <c r="A110" s="307"/>
      <c r="B110" s="258" t="s">
        <v>60</v>
      </c>
      <c r="C110" s="258"/>
      <c r="D110" s="258"/>
      <c r="E110" s="258"/>
      <c r="F110" s="258"/>
      <c r="G110" s="258"/>
      <c r="H110" s="258"/>
      <c r="I110" s="258"/>
      <c r="J110" s="258"/>
      <c r="K110" s="256">
        <f>+K105+K106+K107+K108+K109</f>
        <v>-4644</v>
      </c>
      <c r="L110" s="256"/>
      <c r="M110" s="256">
        <f>SUM(M88:M109)</f>
        <v>-2320</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JULY 2014</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216</v>
      </c>
      <c r="N139" s="264"/>
      <c r="O139" s="6"/>
    </row>
    <row r="140" spans="1:15" ht="15.6" x14ac:dyDescent="0.3">
      <c r="A140" s="307"/>
      <c r="B140" s="258" t="s">
        <v>180</v>
      </c>
      <c r="C140" s="258"/>
      <c r="D140" s="258"/>
      <c r="E140" s="258"/>
      <c r="F140" s="258"/>
      <c r="G140" s="258"/>
      <c r="H140" s="258"/>
      <c r="I140" s="258"/>
      <c r="J140" s="258"/>
      <c r="K140" s="258"/>
      <c r="L140" s="258"/>
      <c r="M140" s="260">
        <f>441-34</f>
        <v>407</v>
      </c>
      <c r="N140" s="264"/>
      <c r="O140" s="6"/>
    </row>
    <row r="141" spans="1:15" ht="15.6" x14ac:dyDescent="0.3">
      <c r="A141" s="307"/>
      <c r="B141" s="258" t="s">
        <v>77</v>
      </c>
      <c r="C141" s="258"/>
      <c r="D141" s="258"/>
      <c r="E141" s="258"/>
      <c r="F141" s="258"/>
      <c r="G141" s="258"/>
      <c r="H141" s="258"/>
      <c r="I141" s="258"/>
      <c r="J141" s="258"/>
      <c r="K141" s="258"/>
      <c r="L141" s="258"/>
      <c r="M141" s="260">
        <f>M139+M138+M140</f>
        <v>623</v>
      </c>
      <c r="N141" s="264"/>
      <c r="O141" s="6"/>
    </row>
    <row r="142" spans="1:15" ht="15.6" x14ac:dyDescent="0.3">
      <c r="A142" s="307"/>
      <c r="B142" s="258" t="s">
        <v>183</v>
      </c>
      <c r="C142" s="258"/>
      <c r="D142" s="258"/>
      <c r="E142" s="258"/>
      <c r="F142" s="258"/>
      <c r="G142" s="258"/>
      <c r="H142" s="258"/>
      <c r="I142" s="303"/>
      <c r="J142" s="258"/>
      <c r="K142" s="258"/>
      <c r="L142" s="258"/>
      <c r="M142" s="260">
        <f>M97</f>
        <v>-623</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80984</v>
      </c>
      <c r="N148" s="318"/>
      <c r="O148" s="6"/>
      <c r="P148" s="117"/>
    </row>
    <row r="149" spans="1:16" ht="15.6" x14ac:dyDescent="0.3">
      <c r="A149" s="307"/>
      <c r="B149" s="258" t="s">
        <v>80</v>
      </c>
      <c r="C149" s="319"/>
      <c r="D149" s="319"/>
      <c r="E149" s="258"/>
      <c r="F149" s="258"/>
      <c r="G149" s="258"/>
      <c r="H149" s="258"/>
      <c r="I149" s="258"/>
      <c r="J149" s="258"/>
      <c r="K149" s="258"/>
      <c r="L149" s="258"/>
      <c r="M149" s="260">
        <f>M75</f>
        <v>80984</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+'April 14'!I156</f>
        <v>7636</v>
      </c>
      <c r="J154" s="258"/>
      <c r="K154" s="260">
        <f>+'April 14'!K156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28.324999999999999</v>
      </c>
      <c r="N161" s="264" t="s">
        <v>145</v>
      </c>
      <c r="O161" s="6"/>
    </row>
    <row r="162" spans="1:15" ht="15.6" x14ac:dyDescent="0.3">
      <c r="A162" s="307"/>
      <c r="B162" s="258" t="s">
        <v>89</v>
      </c>
      <c r="C162" s="258"/>
      <c r="D162" s="258"/>
      <c r="E162" s="258"/>
      <c r="F162" s="258"/>
      <c r="G162" s="258"/>
      <c r="H162" s="258"/>
      <c r="I162" s="258"/>
      <c r="J162" s="258"/>
      <c r="K162" s="258"/>
      <c r="L162" s="258"/>
      <c r="M162" s="309">
        <v>3.58</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13.748427672955975</v>
      </c>
      <c r="N163" s="264" t="s">
        <v>145</v>
      </c>
      <c r="O163" s="6"/>
    </row>
    <row r="164" spans="1:15" ht="15.6" x14ac:dyDescent="0.3">
      <c r="A164" s="307"/>
      <c r="B164" s="258" t="s">
        <v>91</v>
      </c>
      <c r="C164" s="258"/>
      <c r="D164" s="258"/>
      <c r="E164" s="258"/>
      <c r="F164" s="258"/>
      <c r="G164" s="258"/>
      <c r="H164" s="258"/>
      <c r="I164" s="258"/>
      <c r="J164" s="258"/>
      <c r="K164" s="258"/>
      <c r="L164" s="258"/>
      <c r="M164" s="310">
        <v>9.7899999999999991</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15.960629921259843</v>
      </c>
      <c r="N165" s="264" t="s">
        <v>145</v>
      </c>
      <c r="O165" s="6"/>
    </row>
    <row r="166" spans="1:15" ht="15.6" x14ac:dyDescent="0.3">
      <c r="A166" s="307"/>
      <c r="B166" s="258" t="s">
        <v>182</v>
      </c>
      <c r="C166" s="258"/>
      <c r="D166" s="258"/>
      <c r="E166" s="258"/>
      <c r="F166" s="258"/>
      <c r="G166" s="258"/>
      <c r="H166" s="258"/>
      <c r="I166" s="258"/>
      <c r="J166" s="258"/>
      <c r="K166" s="258"/>
      <c r="L166" s="258"/>
      <c r="M166" s="310">
        <v>12.53</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JULY 2014</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41851</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9.5399999999999999E-2</v>
      </c>
      <c r="L176" s="258"/>
      <c r="M176" s="258"/>
      <c r="N176" s="264"/>
      <c r="O176" s="6"/>
    </row>
    <row r="177" spans="1:15" ht="15.6" x14ac:dyDescent="0.3">
      <c r="A177" s="301"/>
      <c r="B177" s="258" t="s">
        <v>97</v>
      </c>
      <c r="C177" s="302"/>
      <c r="D177" s="302"/>
      <c r="E177" s="302"/>
      <c r="F177" s="302"/>
      <c r="G177" s="302"/>
      <c r="H177" s="303"/>
      <c r="I177" s="303"/>
      <c r="J177" s="303"/>
      <c r="K177" s="304">
        <f>M36</f>
        <v>1.6986223217509533E-2</v>
      </c>
      <c r="L177" s="258"/>
      <c r="M177" s="258"/>
      <c r="N177" s="264"/>
      <c r="O177" s="6"/>
    </row>
    <row r="178" spans="1:15" ht="15.6" x14ac:dyDescent="0.3">
      <c r="A178" s="301"/>
      <c r="B178" s="258" t="s">
        <v>98</v>
      </c>
      <c r="C178" s="302"/>
      <c r="D178" s="302"/>
      <c r="E178" s="302"/>
      <c r="F178" s="302"/>
      <c r="G178" s="302"/>
      <c r="H178" s="303"/>
      <c r="I178" s="303"/>
      <c r="J178" s="303"/>
      <c r="K178" s="304">
        <f>K176-K177</f>
        <v>7.8413776782490466E-2</v>
      </c>
      <c r="L178" s="258"/>
      <c r="M178" s="258"/>
      <c r="N178" s="264"/>
      <c r="O178" s="6"/>
    </row>
    <row r="179" spans="1:15" ht="15.6" x14ac:dyDescent="0.3">
      <c r="A179" s="301"/>
      <c r="B179" s="258" t="s">
        <v>211</v>
      </c>
      <c r="C179" s="302"/>
      <c r="D179" s="302"/>
      <c r="E179" s="302"/>
      <c r="F179" s="302"/>
      <c r="G179" s="302"/>
      <c r="H179" s="303"/>
      <c r="I179" s="303"/>
      <c r="J179" s="303"/>
      <c r="K179" s="304">
        <f>(+M87+M89)/E58</f>
        <v>2.7093941234175738E-2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11.74</v>
      </c>
      <c r="L184" s="258" t="s">
        <v>139</v>
      </c>
      <c r="M184" s="258"/>
      <c r="N184" s="264"/>
      <c r="O184" s="6"/>
    </row>
    <row r="185" spans="1:15" ht="15.6" x14ac:dyDescent="0.3">
      <c r="A185" s="301"/>
      <c r="B185" s="258" t="s">
        <v>103</v>
      </c>
      <c r="C185" s="302"/>
      <c r="D185" s="302"/>
      <c r="E185" s="302"/>
      <c r="F185" s="302"/>
      <c r="G185" s="302"/>
      <c r="H185" s="303"/>
      <c r="I185" s="303"/>
      <c r="J185" s="303"/>
      <c r="K185" s="304">
        <f>K80/E58</f>
        <v>4.6958938664922692E-2</v>
      </c>
      <c r="L185" s="258"/>
      <c r="M185" s="258"/>
      <c r="N185" s="264"/>
      <c r="O185" s="6"/>
    </row>
    <row r="186" spans="1:15" ht="15.6" x14ac:dyDescent="0.3">
      <c r="A186" s="301"/>
      <c r="B186" s="258" t="s">
        <v>104</v>
      </c>
      <c r="C186" s="302"/>
      <c r="D186" s="302"/>
      <c r="E186" s="302"/>
      <c r="F186" s="302"/>
      <c r="G186" s="302"/>
      <c r="H186" s="303"/>
      <c r="I186" s="303"/>
      <c r="J186" s="303"/>
      <c r="K186" s="304">
        <v>0.2346</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541</v>
      </c>
      <c r="K189" s="369">
        <v>11705</v>
      </c>
      <c r="L189" s="217"/>
      <c r="M189" s="229"/>
      <c r="N189" s="230"/>
      <c r="O189" s="6"/>
    </row>
    <row r="190" spans="1:15" ht="15.6" x14ac:dyDescent="0.3">
      <c r="A190" s="275"/>
      <c r="B190" s="258" t="s">
        <v>196</v>
      </c>
      <c r="C190" s="256"/>
      <c r="D190" s="256"/>
      <c r="E190" s="256"/>
      <c r="F190" s="256"/>
      <c r="G190" s="258"/>
      <c r="H190" s="258"/>
      <c r="I190" s="258"/>
      <c r="J190" s="276">
        <v>1</v>
      </c>
      <c r="K190" s="277">
        <v>16</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623</v>
      </c>
      <c r="L194" s="258"/>
      <c r="M194" s="281"/>
      <c r="N194" s="286"/>
      <c r="O194" s="6"/>
    </row>
    <row r="195" spans="1:15" ht="15.6" x14ac:dyDescent="0.3">
      <c r="A195" s="275"/>
      <c r="B195" s="258" t="s">
        <v>111</v>
      </c>
      <c r="C195" s="256"/>
      <c r="D195" s="256"/>
      <c r="E195" s="256"/>
      <c r="F195" s="256"/>
      <c r="G195" s="256"/>
      <c r="H195" s="258"/>
      <c r="I195" s="258"/>
      <c r="J195" s="258"/>
      <c r="K195" s="375">
        <f>'April 14'!K195+'July 14'!K194</f>
        <v>36565</v>
      </c>
      <c r="L195" s="258"/>
      <c r="M195" s="281"/>
      <c r="N195" s="286"/>
      <c r="O195" s="6"/>
    </row>
    <row r="196" spans="1:15" ht="15.6" x14ac:dyDescent="0.3">
      <c r="A196" s="275"/>
      <c r="B196" s="258" t="s">
        <v>112</v>
      </c>
      <c r="C196" s="256"/>
      <c r="D196" s="256"/>
      <c r="E196" s="256"/>
      <c r="F196" s="256"/>
      <c r="G196" s="256"/>
      <c r="H196" s="258"/>
      <c r="I196" s="258"/>
      <c r="J196" s="258"/>
      <c r="K196" s="375">
        <f>'April 14'!K196+496</f>
        <v>11934</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277">
        <v>1</v>
      </c>
      <c r="L198" s="258"/>
      <c r="M198" s="261"/>
      <c r="N198" s="286"/>
      <c r="O198" s="6"/>
    </row>
    <row r="199" spans="1:15" ht="15.6" x14ac:dyDescent="0.3">
      <c r="A199" s="275"/>
      <c r="B199" s="258" t="s">
        <v>113</v>
      </c>
      <c r="C199" s="256"/>
      <c r="D199" s="256"/>
      <c r="E199" s="290"/>
      <c r="F199" s="290"/>
      <c r="G199" s="291"/>
      <c r="H199" s="258"/>
      <c r="I199" s="258"/>
      <c r="J199" s="258"/>
      <c r="K199" s="292">
        <v>56.83</v>
      </c>
      <c r="L199" s="258"/>
      <c r="M199" s="261"/>
      <c r="N199" s="286"/>
      <c r="O199" s="6"/>
    </row>
    <row r="200" spans="1:15" ht="15.6" x14ac:dyDescent="0.3">
      <c r="A200" s="275"/>
      <c r="B200" s="258" t="s">
        <v>114</v>
      </c>
      <c r="C200" s="256"/>
      <c r="D200" s="256"/>
      <c r="E200" s="290"/>
      <c r="F200" s="290"/>
      <c r="G200" s="291"/>
      <c r="H200" s="258"/>
      <c r="I200" s="258"/>
      <c r="J200" s="258"/>
      <c r="K200" s="292">
        <v>5.0199999999999996</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3373</v>
      </c>
      <c r="J205" s="232">
        <f>I205/I213</f>
        <v>0.86177823198773629</v>
      </c>
      <c r="K205" s="221">
        <v>69279</v>
      </c>
      <c r="L205" s="232">
        <f>K205/K213</f>
        <v>0.85546527709177123</v>
      </c>
      <c r="M205" s="228"/>
      <c r="N205" s="218"/>
      <c r="O205" s="6"/>
    </row>
    <row r="206" spans="1:15" ht="15.6" x14ac:dyDescent="0.3">
      <c r="A206" s="255"/>
      <c r="B206" s="256" t="s">
        <v>117</v>
      </c>
      <c r="C206" s="257"/>
      <c r="D206" s="257"/>
      <c r="E206" s="256"/>
      <c r="F206" s="257"/>
      <c r="G206" s="258"/>
      <c r="H206" s="259"/>
      <c r="I206" s="256">
        <v>115</v>
      </c>
      <c r="J206" s="259">
        <f>I206/I213</f>
        <v>2.9381706693919263E-2</v>
      </c>
      <c r="K206" s="260">
        <v>2441</v>
      </c>
      <c r="L206" s="259">
        <f>K206/K213</f>
        <v>3.0141756396325201E-2</v>
      </c>
      <c r="M206" s="261"/>
      <c r="N206" s="263"/>
      <c r="O206" s="6"/>
    </row>
    <row r="207" spans="1:15" ht="15.6" x14ac:dyDescent="0.3">
      <c r="A207" s="255"/>
      <c r="B207" s="256" t="s">
        <v>118</v>
      </c>
      <c r="C207" s="257"/>
      <c r="D207" s="257"/>
      <c r="E207" s="256"/>
      <c r="F207" s="257"/>
      <c r="G207" s="256"/>
      <c r="H207" s="259"/>
      <c r="I207" s="256">
        <v>88</v>
      </c>
      <c r="J207" s="259">
        <f>I207/I213</f>
        <v>2.2483392948390392E-2</v>
      </c>
      <c r="K207" s="260">
        <v>1717</v>
      </c>
      <c r="L207" s="259">
        <f>K207/K213</f>
        <v>2.1201718858046035E-2</v>
      </c>
      <c r="M207" s="374"/>
      <c r="N207" s="263"/>
      <c r="O207" s="6"/>
    </row>
    <row r="208" spans="1:15" ht="15.6" x14ac:dyDescent="0.3">
      <c r="A208" s="255"/>
      <c r="B208" s="256" t="s">
        <v>167</v>
      </c>
      <c r="C208" s="257"/>
      <c r="D208" s="257"/>
      <c r="E208" s="256"/>
      <c r="F208" s="257"/>
      <c r="G208" s="256"/>
      <c r="H208" s="259"/>
      <c r="I208" s="256">
        <v>56</v>
      </c>
      <c r="J208" s="259">
        <f>I208/I213</f>
        <v>1.430761369443025E-2</v>
      </c>
      <c r="K208" s="260">
        <v>1086</v>
      </c>
      <c r="L208" s="259">
        <f>K208/K213</f>
        <v>1.341005630741875E-2</v>
      </c>
      <c r="M208" s="374"/>
      <c r="N208" s="263"/>
      <c r="O208" s="6"/>
    </row>
    <row r="209" spans="1:15" ht="15.6" x14ac:dyDescent="0.3">
      <c r="A209" s="255"/>
      <c r="B209" s="256" t="s">
        <v>168</v>
      </c>
      <c r="C209" s="257"/>
      <c r="D209" s="257"/>
      <c r="E209" s="256"/>
      <c r="F209" s="257"/>
      <c r="G209" s="258"/>
      <c r="H209" s="259"/>
      <c r="I209" s="256">
        <v>57</v>
      </c>
      <c r="J209" s="259">
        <f>I209/I213</f>
        <v>1.4563106796116505E-2</v>
      </c>
      <c r="K209" s="260">
        <v>1242</v>
      </c>
      <c r="L209" s="259">
        <f>K209/K213</f>
        <v>1.533636273831868E-2</v>
      </c>
      <c r="M209" s="374"/>
      <c r="N209" s="262"/>
      <c r="O209" s="6"/>
    </row>
    <row r="210" spans="1:15" ht="15.6" x14ac:dyDescent="0.3">
      <c r="A210" s="255"/>
      <c r="B210" s="256" t="s">
        <v>169</v>
      </c>
      <c r="C210" s="257"/>
      <c r="D210" s="257"/>
      <c r="E210" s="256"/>
      <c r="F210" s="257"/>
      <c r="G210" s="258"/>
      <c r="H210" s="259"/>
      <c r="I210" s="256">
        <v>30</v>
      </c>
      <c r="J210" s="259">
        <f>I210/I213</f>
        <v>7.6647930505876344E-3</v>
      </c>
      <c r="K210" s="260">
        <v>758</v>
      </c>
      <c r="L210" s="259">
        <f>K210/K213</f>
        <v>9.3598735552701765E-3</v>
      </c>
      <c r="M210" s="374"/>
      <c r="N210" s="262"/>
      <c r="O210" s="6"/>
    </row>
    <row r="211" spans="1:15" ht="15.6" x14ac:dyDescent="0.3">
      <c r="A211" s="255"/>
      <c r="B211" s="256" t="s">
        <v>176</v>
      </c>
      <c r="C211" s="257"/>
      <c r="D211" s="257"/>
      <c r="E211" s="256"/>
      <c r="F211" s="257"/>
      <c r="G211" s="258"/>
      <c r="H211" s="259"/>
      <c r="I211" s="256">
        <v>127</v>
      </c>
      <c r="J211" s="259">
        <f>I211/I213</f>
        <v>3.2447623914154317E-2</v>
      </c>
      <c r="K211" s="260">
        <v>2747</v>
      </c>
      <c r="L211" s="259">
        <f>K211/K213</f>
        <v>3.3920280549244293E-2</v>
      </c>
      <c r="M211" s="261"/>
      <c r="N211" s="263"/>
      <c r="O211" s="6"/>
    </row>
    <row r="212" spans="1:15" ht="15.6" x14ac:dyDescent="0.3">
      <c r="A212" s="255"/>
      <c r="B212" s="256" t="s">
        <v>202</v>
      </c>
      <c r="C212" s="257"/>
      <c r="D212" s="257"/>
      <c r="E212" s="256"/>
      <c r="F212" s="257"/>
      <c r="G212" s="258"/>
      <c r="H212" s="259"/>
      <c r="I212" s="256">
        <v>68</v>
      </c>
      <c r="J212" s="259">
        <f>+I212/I213</f>
        <v>1.7373530914665303E-2</v>
      </c>
      <c r="K212" s="260">
        <v>1714</v>
      </c>
      <c r="L212" s="259">
        <f>+K212/K213</f>
        <v>2.1164674503605652E-2</v>
      </c>
      <c r="M212" s="261"/>
      <c r="N212" s="263"/>
      <c r="O212" s="6"/>
    </row>
    <row r="213" spans="1:15" ht="15.6" x14ac:dyDescent="0.3">
      <c r="A213" s="255"/>
      <c r="B213" s="258" t="s">
        <v>189</v>
      </c>
      <c r="C213" s="258"/>
      <c r="D213" s="258"/>
      <c r="E213" s="258"/>
      <c r="F213" s="258"/>
      <c r="G213" s="256"/>
      <c r="H213" s="258"/>
      <c r="I213" s="256">
        <f>SUM(I205:I212)</f>
        <v>3914</v>
      </c>
      <c r="J213" s="259">
        <f>SUM(J205:J212)</f>
        <v>1</v>
      </c>
      <c r="K213" s="260">
        <f>SUM(K205:K212)</f>
        <v>80984</v>
      </c>
      <c r="L213" s="259">
        <f>SUM(L205:L212)</f>
        <v>1</v>
      </c>
      <c r="M213" s="258"/>
      <c r="N213" s="264"/>
      <c r="O213" s="6"/>
    </row>
    <row r="214" spans="1:15" ht="15.6" x14ac:dyDescent="0.3">
      <c r="A214" s="255"/>
      <c r="B214" s="256" t="s">
        <v>170</v>
      </c>
      <c r="C214" s="257"/>
      <c r="D214" s="257"/>
      <c r="E214" s="256"/>
      <c r="F214" s="257"/>
      <c r="G214" s="256"/>
      <c r="H214" s="259"/>
      <c r="I214" s="256">
        <v>305</v>
      </c>
      <c r="J214" s="259"/>
      <c r="K214" s="260">
        <v>8665</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1.0891</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JULY 2014</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500-000000000000}"/>
    <hyperlink ref="K202" r:id="rId2" xr:uid="{00000000-0004-0000-25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89CB31"/>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41964</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34504.1466</v>
      </c>
      <c r="D31" s="345"/>
      <c r="E31" s="344">
        <f>E30*E34</f>
        <v>28291.947600000003</v>
      </c>
      <c r="F31" s="344"/>
      <c r="G31" s="344">
        <f>G30*G34</f>
        <v>18187.6806</v>
      </c>
      <c r="H31" s="346"/>
      <c r="I31" s="346"/>
      <c r="J31" s="346"/>
      <c r="K31" s="346"/>
      <c r="L31" s="347"/>
      <c r="M31" s="344">
        <f>C31+E31+G31</f>
        <v>80983.774800000014</v>
      </c>
      <c r="N31" s="348"/>
      <c r="O31" s="6"/>
    </row>
    <row r="32" spans="1:15" ht="15.6" x14ac:dyDescent="0.3">
      <c r="A32" s="340"/>
      <c r="B32" s="319" t="s">
        <v>16</v>
      </c>
      <c r="C32" s="349">
        <f>C30*C33</f>
        <v>34504.1466</v>
      </c>
      <c r="D32" s="350"/>
      <c r="E32" s="349">
        <f>E30*E33</f>
        <v>25898.779200000001</v>
      </c>
      <c r="F32" s="349"/>
      <c r="G32" s="349">
        <f>G30*G33</f>
        <v>16649.215199999999</v>
      </c>
      <c r="H32" s="351"/>
      <c r="I32" s="351"/>
      <c r="J32" s="351"/>
      <c r="K32" s="351"/>
      <c r="L32" s="352"/>
      <c r="M32" s="344">
        <f>C32+E32+G32</f>
        <v>77052.141000000003</v>
      </c>
      <c r="N32" s="348"/>
      <c r="O32" s="6"/>
    </row>
    <row r="33" spans="1:15" ht="15.6" x14ac:dyDescent="0.3">
      <c r="A33" s="340"/>
      <c r="B33" s="278" t="s">
        <v>174</v>
      </c>
      <c r="C33" s="371">
        <v>0.14936859999999999</v>
      </c>
      <c r="D33" s="372"/>
      <c r="E33" s="371">
        <v>0.61663760000000001</v>
      </c>
      <c r="F33" s="371"/>
      <c r="G33" s="371">
        <v>0.61663760000000001</v>
      </c>
      <c r="H33" s="373"/>
      <c r="I33" s="373"/>
      <c r="J33" s="351"/>
      <c r="K33" s="351"/>
      <c r="L33" s="352"/>
      <c r="M33" s="351"/>
      <c r="N33" s="348"/>
      <c r="O33" s="6"/>
    </row>
    <row r="34" spans="1:15" ht="15.6" x14ac:dyDescent="0.3">
      <c r="A34" s="340"/>
      <c r="B34" s="278" t="s">
        <v>175</v>
      </c>
      <c r="C34" s="371">
        <v>0.14936859999999999</v>
      </c>
      <c r="D34" s="372"/>
      <c r="E34" s="371">
        <v>0.67361780000000004</v>
      </c>
      <c r="F34" s="371"/>
      <c r="G34" s="371">
        <v>0.67361780000000004</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9.5963000000000003E-3</v>
      </c>
      <c r="D36" s="258"/>
      <c r="E36" s="356">
        <v>2.0596300000000001E-2</v>
      </c>
      <c r="F36" s="304"/>
      <c r="G36" s="356">
        <v>2.5596299999999999E-2</v>
      </c>
      <c r="H36" s="304"/>
      <c r="I36" s="356"/>
      <c r="J36" s="304"/>
      <c r="K36" s="356"/>
      <c r="L36" s="321"/>
      <c r="M36" s="304">
        <f>SUMPRODUCT(C36:G36,C31:G31)/M31</f>
        <v>1.7032534167736028E-2</v>
      </c>
      <c r="N36" s="264"/>
      <c r="O36" s="6"/>
    </row>
    <row r="37" spans="1:15" ht="15.6" x14ac:dyDescent="0.3">
      <c r="A37" s="307"/>
      <c r="B37" s="258" t="s">
        <v>19</v>
      </c>
      <c r="C37" s="356">
        <v>9.2505999999999994E-3</v>
      </c>
      <c r="D37" s="258"/>
      <c r="E37" s="356">
        <v>2.0250600000000001E-2</v>
      </c>
      <c r="F37" s="304"/>
      <c r="G37" s="356">
        <v>2.5250600000000002E-2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1.2331269888587824</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41960</v>
      </c>
      <c r="N47" s="264"/>
      <c r="O47" s="6"/>
    </row>
    <row r="48" spans="1:15" ht="15.6" x14ac:dyDescent="0.3">
      <c r="A48" s="307"/>
      <c r="B48" s="258" t="s">
        <v>26</v>
      </c>
      <c r="C48" s="258"/>
      <c r="D48" s="258"/>
      <c r="E48" s="258"/>
      <c r="F48" s="258"/>
      <c r="G48" s="258"/>
      <c r="H48" s="258"/>
      <c r="I48" s="258"/>
      <c r="J48" s="258">
        <f>M48-K48+1</f>
        <v>92</v>
      </c>
      <c r="K48" s="360">
        <v>41774</v>
      </c>
      <c r="L48" s="361"/>
      <c r="M48" s="360">
        <v>41865</v>
      </c>
      <c r="N48" s="264"/>
      <c r="O48" s="6"/>
    </row>
    <row r="49" spans="1:15" ht="15.6" x14ac:dyDescent="0.3">
      <c r="A49" s="307"/>
      <c r="B49" s="258" t="s">
        <v>27</v>
      </c>
      <c r="C49" s="258"/>
      <c r="D49" s="258"/>
      <c r="E49" s="258"/>
      <c r="F49" s="258"/>
      <c r="G49" s="258"/>
      <c r="H49" s="258"/>
      <c r="I49" s="258"/>
      <c r="J49" s="258">
        <f>M49-K49+1</f>
        <v>94</v>
      </c>
      <c r="K49" s="360">
        <v>41866</v>
      </c>
      <c r="L49" s="361"/>
      <c r="M49" s="360">
        <v>41959</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41946</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268</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80984</v>
      </c>
      <c r="F58" s="256"/>
      <c r="G58" s="256">
        <v>3932</v>
      </c>
      <c r="H58" s="256"/>
      <c r="I58" s="256">
        <v>0</v>
      </c>
      <c r="J58" s="256"/>
      <c r="K58" s="256">
        <v>0</v>
      </c>
      <c r="L58" s="256"/>
      <c r="M58" s="260">
        <f>E58-G58+I58-K58</f>
        <v>77052</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80984</v>
      </c>
      <c r="F62" s="256"/>
      <c r="G62" s="256">
        <f>SUM(G58:G61)</f>
        <v>3932</v>
      </c>
      <c r="H62" s="256"/>
      <c r="I62" s="256">
        <f>SUM(I58:I61)</f>
        <v>0</v>
      </c>
      <c r="J62" s="256"/>
      <c r="K62" s="256">
        <f>SUM(K58:K61)</f>
        <v>0</v>
      </c>
      <c r="L62" s="256"/>
      <c r="M62" s="256">
        <f>SUM(M58:M61)</f>
        <v>77052</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80984</v>
      </c>
      <c r="F75" s="256"/>
      <c r="G75" s="256"/>
      <c r="H75" s="256"/>
      <c r="I75" s="256"/>
      <c r="J75" s="256"/>
      <c r="K75" s="256"/>
      <c r="L75" s="256"/>
      <c r="M75" s="256">
        <f>SUM(M62:M74)</f>
        <v>77052</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41943</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3932-74</f>
        <v>3858</v>
      </c>
      <c r="L80" s="258"/>
      <c r="M80" s="260"/>
      <c r="N80" s="264"/>
      <c r="O80" s="6"/>
    </row>
    <row r="81" spans="1:16" ht="15.6" x14ac:dyDescent="0.3">
      <c r="A81" s="307"/>
      <c r="B81" s="258" t="s">
        <v>204</v>
      </c>
      <c r="C81" s="290"/>
      <c r="D81" s="325"/>
      <c r="E81" s="326"/>
      <c r="F81" s="258"/>
      <c r="G81" s="258"/>
      <c r="H81" s="258"/>
      <c r="I81" s="258"/>
      <c r="J81" s="258"/>
      <c r="K81" s="256"/>
      <c r="L81" s="258"/>
      <c r="M81" s="260">
        <f>3575+10-2031</f>
        <v>1554</v>
      </c>
      <c r="N81" s="264"/>
      <c r="O81" s="6"/>
    </row>
    <row r="82" spans="1:16" ht="15.6" x14ac:dyDescent="0.3">
      <c r="A82" s="307"/>
      <c r="B82" s="258" t="s">
        <v>205</v>
      </c>
      <c r="C82" s="290"/>
      <c r="D82" s="325"/>
      <c r="E82" s="326"/>
      <c r="F82" s="258"/>
      <c r="G82" s="258"/>
      <c r="H82" s="258"/>
      <c r="I82" s="258"/>
      <c r="J82" s="258"/>
      <c r="K82" s="256"/>
      <c r="L82" s="258"/>
      <c r="M82" s="260">
        <v>129</v>
      </c>
      <c r="N82" s="264"/>
      <c r="O82" s="6"/>
    </row>
    <row r="83" spans="1:16" ht="15.6" x14ac:dyDescent="0.3">
      <c r="A83" s="307"/>
      <c r="B83" s="258" t="s">
        <v>206</v>
      </c>
      <c r="C83" s="290"/>
      <c r="D83" s="325"/>
      <c r="E83" s="326"/>
      <c r="F83" s="258"/>
      <c r="G83" s="258"/>
      <c r="H83" s="258"/>
      <c r="I83" s="258"/>
      <c r="J83" s="258"/>
      <c r="K83" s="256"/>
      <c r="L83" s="258"/>
      <c r="M83" s="260">
        <v>22</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3858</v>
      </c>
      <c r="L85" s="258"/>
      <c r="M85" s="256">
        <f>SUM(M79:M84)</f>
        <v>1705</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3858</v>
      </c>
      <c r="L87" s="258"/>
      <c r="M87" s="256">
        <f>M85+M86</f>
        <v>1705</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-31-32-1</f>
        <v>-64</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-85</v>
      </c>
      <c r="N93" s="311"/>
      <c r="O93" s="6"/>
    </row>
    <row r="94" spans="1:16" ht="15.6" x14ac:dyDescent="0.3">
      <c r="A94" s="255">
        <v>5</v>
      </c>
      <c r="B94" s="258" t="s">
        <v>52</v>
      </c>
      <c r="C94" s="258"/>
      <c r="D94" s="258"/>
      <c r="E94" s="258"/>
      <c r="F94" s="258"/>
      <c r="G94" s="258"/>
      <c r="H94" s="258"/>
      <c r="I94" s="258"/>
      <c r="J94" s="258"/>
      <c r="K94" s="258"/>
      <c r="L94" s="258"/>
      <c r="M94" s="260">
        <v>-150</v>
      </c>
      <c r="N94" s="311"/>
      <c r="O94" s="6"/>
    </row>
    <row r="95" spans="1:16" ht="15.6" x14ac:dyDescent="0.3">
      <c r="A95" s="255">
        <v>6</v>
      </c>
      <c r="B95" s="258" t="s">
        <v>172</v>
      </c>
      <c r="C95" s="258"/>
      <c r="D95" s="258"/>
      <c r="E95" s="258"/>
      <c r="F95" s="258"/>
      <c r="G95" s="258"/>
      <c r="H95" s="258"/>
      <c r="I95" s="258"/>
      <c r="J95" s="258"/>
      <c r="K95" s="258"/>
      <c r="L95" s="258"/>
      <c r="M95" s="260">
        <v>-120</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74</v>
      </c>
      <c r="L97" s="258"/>
      <c r="M97" s="260">
        <v>-74</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-30</v>
      </c>
      <c r="N101" s="311"/>
      <c r="O101" s="6"/>
    </row>
    <row r="102" spans="1:16" ht="15.6" x14ac:dyDescent="0.3">
      <c r="A102" s="255">
        <v>13</v>
      </c>
      <c r="B102" s="258" t="s">
        <v>195</v>
      </c>
      <c r="C102" s="258"/>
      <c r="D102" s="258"/>
      <c r="E102" s="258"/>
      <c r="F102" s="258"/>
      <c r="G102" s="258"/>
      <c r="H102" s="258"/>
      <c r="I102" s="258"/>
      <c r="J102" s="258"/>
      <c r="K102" s="258"/>
      <c r="L102" s="258"/>
      <c r="M102" s="260">
        <f>-M87-SUM(M89:M101)</f>
        <v>-1173</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0</v>
      </c>
      <c r="L107" s="256"/>
      <c r="M107" s="260"/>
      <c r="N107" s="311"/>
      <c r="O107" s="6"/>
    </row>
    <row r="108" spans="1:16" ht="15.6" x14ac:dyDescent="0.3">
      <c r="A108" s="307"/>
      <c r="B108" s="258" t="s">
        <v>59</v>
      </c>
      <c r="C108" s="258"/>
      <c r="D108" s="258"/>
      <c r="E108" s="258"/>
      <c r="F108" s="258"/>
      <c r="G108" s="258"/>
      <c r="H108" s="258"/>
      <c r="I108" s="258"/>
      <c r="J108" s="258"/>
      <c r="K108" s="256">
        <v>-2393</v>
      </c>
      <c r="L108" s="256"/>
      <c r="M108" s="260"/>
      <c r="N108" s="311"/>
      <c r="O108" s="6"/>
    </row>
    <row r="109" spans="1:16" ht="15.6" x14ac:dyDescent="0.3">
      <c r="A109" s="307"/>
      <c r="B109" s="258" t="s">
        <v>186</v>
      </c>
      <c r="C109" s="258"/>
      <c r="D109" s="258"/>
      <c r="E109" s="258"/>
      <c r="F109" s="258"/>
      <c r="G109" s="258"/>
      <c r="H109" s="258"/>
      <c r="I109" s="258"/>
      <c r="J109" s="258"/>
      <c r="K109" s="256">
        <v>-1539</v>
      </c>
      <c r="L109" s="256"/>
      <c r="M109" s="260"/>
      <c r="N109" s="311"/>
      <c r="O109" s="6"/>
    </row>
    <row r="110" spans="1:16" ht="15.6" x14ac:dyDescent="0.3">
      <c r="A110" s="307"/>
      <c r="B110" s="258" t="s">
        <v>60</v>
      </c>
      <c r="C110" s="258"/>
      <c r="D110" s="258"/>
      <c r="E110" s="258"/>
      <c r="F110" s="258"/>
      <c r="G110" s="258"/>
      <c r="H110" s="258"/>
      <c r="I110" s="258"/>
      <c r="J110" s="258"/>
      <c r="K110" s="256">
        <f>+K105+K106+K107+K108+K109</f>
        <v>-3932</v>
      </c>
      <c r="L110" s="256"/>
      <c r="M110" s="256">
        <f>SUM(M88:M109)</f>
        <v>-1705</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OCTOBER 2014</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-40</v>
      </c>
      <c r="N139" s="264"/>
      <c r="O139" s="6"/>
    </row>
    <row r="140" spans="1:15" ht="15.6" x14ac:dyDescent="0.3">
      <c r="A140" s="307"/>
      <c r="B140" s="258" t="s">
        <v>180</v>
      </c>
      <c r="C140" s="258"/>
      <c r="D140" s="258"/>
      <c r="E140" s="258"/>
      <c r="F140" s="258"/>
      <c r="G140" s="258"/>
      <c r="H140" s="258"/>
      <c r="I140" s="258"/>
      <c r="J140" s="258"/>
      <c r="K140" s="258"/>
      <c r="L140" s="258"/>
      <c r="M140" s="260">
        <f>160-46</f>
        <v>114</v>
      </c>
      <c r="N140" s="264"/>
      <c r="O140" s="6"/>
    </row>
    <row r="141" spans="1:15" ht="15.6" x14ac:dyDescent="0.3">
      <c r="A141" s="307"/>
      <c r="B141" s="258" t="s">
        <v>77</v>
      </c>
      <c r="C141" s="258"/>
      <c r="D141" s="258"/>
      <c r="E141" s="258"/>
      <c r="F141" s="258"/>
      <c r="G141" s="258"/>
      <c r="H141" s="258"/>
      <c r="I141" s="258"/>
      <c r="J141" s="258"/>
      <c r="K141" s="258"/>
      <c r="L141" s="258"/>
      <c r="M141" s="260">
        <f>M139+M138+M140</f>
        <v>74</v>
      </c>
      <c r="N141" s="264"/>
      <c r="O141" s="6"/>
    </row>
    <row r="142" spans="1:15" ht="15.6" x14ac:dyDescent="0.3">
      <c r="A142" s="307"/>
      <c r="B142" s="258" t="s">
        <v>183</v>
      </c>
      <c r="C142" s="258"/>
      <c r="D142" s="258"/>
      <c r="E142" s="258"/>
      <c r="F142" s="258"/>
      <c r="G142" s="258"/>
      <c r="H142" s="258"/>
      <c r="I142" s="303"/>
      <c r="J142" s="258"/>
      <c r="K142" s="258"/>
      <c r="L142" s="258"/>
      <c r="M142" s="260">
        <f>M97</f>
        <v>-74</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77052</v>
      </c>
      <c r="N148" s="318"/>
      <c r="O148" s="6"/>
      <c r="P148" s="117"/>
    </row>
    <row r="149" spans="1:16" ht="15.6" x14ac:dyDescent="0.3">
      <c r="A149" s="307"/>
      <c r="B149" s="258" t="s">
        <v>80</v>
      </c>
      <c r="C149" s="319"/>
      <c r="D149" s="319"/>
      <c r="E149" s="258"/>
      <c r="F149" s="258"/>
      <c r="G149" s="258"/>
      <c r="H149" s="258"/>
      <c r="I149" s="258"/>
      <c r="J149" s="258"/>
      <c r="K149" s="258"/>
      <c r="L149" s="258"/>
      <c r="M149" s="260">
        <f>M75</f>
        <v>77052</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+'July 14'!I156</f>
        <v>7636</v>
      </c>
      <c r="J154" s="258"/>
      <c r="K154" s="260">
        <f>+'July 14'!K156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19.28235294117647</v>
      </c>
      <c r="N161" s="264" t="s">
        <v>145</v>
      </c>
      <c r="O161" s="6"/>
    </row>
    <row r="162" spans="1:15" ht="15.6" x14ac:dyDescent="0.3">
      <c r="A162" s="307"/>
      <c r="B162" s="258" t="s">
        <v>89</v>
      </c>
      <c r="C162" s="258"/>
      <c r="D162" s="258"/>
      <c r="E162" s="258"/>
      <c r="F162" s="258"/>
      <c r="G162" s="258"/>
      <c r="H162" s="258"/>
      <c r="I162" s="258"/>
      <c r="J162" s="258"/>
      <c r="K162" s="258"/>
      <c r="L162" s="258"/>
      <c r="M162" s="309">
        <v>3.61</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10.36</v>
      </c>
      <c r="N163" s="264" t="s">
        <v>145</v>
      </c>
      <c r="O163" s="6"/>
    </row>
    <row r="164" spans="1:15" ht="15.6" x14ac:dyDescent="0.3">
      <c r="A164" s="307"/>
      <c r="B164" s="258" t="s">
        <v>91</v>
      </c>
      <c r="C164" s="258"/>
      <c r="D164" s="258"/>
      <c r="E164" s="258"/>
      <c r="F164" s="258"/>
      <c r="G164" s="258"/>
      <c r="H164" s="258"/>
      <c r="I164" s="258"/>
      <c r="J164" s="258"/>
      <c r="K164" s="258"/>
      <c r="L164" s="258"/>
      <c r="M164" s="310">
        <v>9.8000000000000007</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11.7</v>
      </c>
      <c r="N165" s="264" t="s">
        <v>145</v>
      </c>
      <c r="O165" s="6"/>
    </row>
    <row r="166" spans="1:15" ht="15.6" x14ac:dyDescent="0.3">
      <c r="A166" s="307"/>
      <c r="B166" s="258" t="s">
        <v>182</v>
      </c>
      <c r="C166" s="258"/>
      <c r="D166" s="258"/>
      <c r="E166" s="258"/>
      <c r="F166" s="258"/>
      <c r="G166" s="258"/>
      <c r="H166" s="258"/>
      <c r="I166" s="258"/>
      <c r="J166" s="258"/>
      <c r="K166" s="258"/>
      <c r="L166" s="258"/>
      <c r="M166" s="310">
        <v>12.52</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OCTOBER 2014</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41943</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9.5399999999999999E-2</v>
      </c>
      <c r="L176" s="258"/>
      <c r="M176" s="258"/>
      <c r="N176" s="264"/>
      <c r="O176" s="6"/>
    </row>
    <row r="177" spans="1:15" ht="15.6" x14ac:dyDescent="0.3">
      <c r="A177" s="301"/>
      <c r="B177" s="258" t="s">
        <v>97</v>
      </c>
      <c r="C177" s="302"/>
      <c r="D177" s="302"/>
      <c r="E177" s="302"/>
      <c r="F177" s="302"/>
      <c r="G177" s="302"/>
      <c r="H177" s="303"/>
      <c r="I177" s="303"/>
      <c r="J177" s="303"/>
      <c r="K177" s="304">
        <f>M36</f>
        <v>1.7032534167736028E-2</v>
      </c>
      <c r="L177" s="258"/>
      <c r="M177" s="258"/>
      <c r="N177" s="264"/>
      <c r="O177" s="6"/>
    </row>
    <row r="178" spans="1:15" ht="15.6" x14ac:dyDescent="0.3">
      <c r="A178" s="301"/>
      <c r="B178" s="258" t="s">
        <v>98</v>
      </c>
      <c r="C178" s="302"/>
      <c r="D178" s="302"/>
      <c r="E178" s="302"/>
      <c r="F178" s="302"/>
      <c r="G178" s="302"/>
      <c r="H178" s="303"/>
      <c r="I178" s="303"/>
      <c r="J178" s="303"/>
      <c r="K178" s="304">
        <f>K176-K177</f>
        <v>7.8367465832263977E-2</v>
      </c>
      <c r="L178" s="258"/>
      <c r="M178" s="258"/>
      <c r="N178" s="264"/>
      <c r="O178" s="6"/>
    </row>
    <row r="179" spans="1:15" ht="15.6" x14ac:dyDescent="0.3">
      <c r="A179" s="301"/>
      <c r="B179" s="258" t="s">
        <v>211</v>
      </c>
      <c r="C179" s="302"/>
      <c r="D179" s="302"/>
      <c r="E179" s="302"/>
      <c r="F179" s="302"/>
      <c r="G179" s="302"/>
      <c r="H179" s="303"/>
      <c r="I179" s="303"/>
      <c r="J179" s="303"/>
      <c r="K179" s="304">
        <f>(+M87+M89)/E58</f>
        <v>2.1053541440284502E-2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11.63</v>
      </c>
      <c r="L184" s="258" t="s">
        <v>139</v>
      </c>
      <c r="M184" s="258"/>
      <c r="N184" s="264"/>
      <c r="O184" s="6"/>
    </row>
    <row r="185" spans="1:15" ht="15.6" x14ac:dyDescent="0.3">
      <c r="A185" s="301"/>
      <c r="B185" s="258" t="s">
        <v>103</v>
      </c>
      <c r="C185" s="302"/>
      <c r="D185" s="302"/>
      <c r="E185" s="302"/>
      <c r="F185" s="302"/>
      <c r="G185" s="302"/>
      <c r="H185" s="303"/>
      <c r="I185" s="303"/>
      <c r="J185" s="303"/>
      <c r="K185" s="304">
        <f>K80/E58</f>
        <v>4.7639039810332906E-2</v>
      </c>
      <c r="L185" s="258"/>
      <c r="M185" s="258"/>
      <c r="N185" s="264"/>
      <c r="O185" s="6"/>
    </row>
    <row r="186" spans="1:15" ht="15.6" x14ac:dyDescent="0.3">
      <c r="A186" s="301"/>
      <c r="B186" s="258" t="s">
        <v>104</v>
      </c>
      <c r="C186" s="302"/>
      <c r="D186" s="302"/>
      <c r="E186" s="302"/>
      <c r="F186" s="302"/>
      <c r="G186" s="302"/>
      <c r="H186" s="303"/>
      <c r="I186" s="303"/>
      <c r="J186" s="303"/>
      <c r="K186" s="304">
        <v>0.23319999999999999</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502</v>
      </c>
      <c r="K189" s="369">
        <v>10799</v>
      </c>
      <c r="L189" s="217"/>
      <c r="M189" s="229"/>
      <c r="N189" s="230"/>
      <c r="O189" s="6"/>
    </row>
    <row r="190" spans="1:15" ht="15.6" x14ac:dyDescent="0.3">
      <c r="A190" s="275"/>
      <c r="B190" s="258" t="s">
        <v>196</v>
      </c>
      <c r="C190" s="256"/>
      <c r="D190" s="256"/>
      <c r="E190" s="256"/>
      <c r="F190" s="256"/>
      <c r="G190" s="258"/>
      <c r="H190" s="258"/>
      <c r="I190" s="258"/>
      <c r="J190" s="276">
        <v>0</v>
      </c>
      <c r="K190" s="277">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74</v>
      </c>
      <c r="L194" s="258"/>
      <c r="M194" s="281"/>
      <c r="N194" s="286"/>
      <c r="O194" s="6"/>
    </row>
    <row r="195" spans="1:15" ht="15.6" x14ac:dyDescent="0.3">
      <c r="A195" s="275"/>
      <c r="B195" s="258" t="s">
        <v>111</v>
      </c>
      <c r="C195" s="256"/>
      <c r="D195" s="256"/>
      <c r="E195" s="256"/>
      <c r="F195" s="256"/>
      <c r="G195" s="256"/>
      <c r="H195" s="258"/>
      <c r="I195" s="258"/>
      <c r="J195" s="258"/>
      <c r="K195" s="375">
        <f>'July 14'!K195+'Oct 14'!K194</f>
        <v>36639</v>
      </c>
      <c r="L195" s="258"/>
      <c r="M195" s="281"/>
      <c r="N195" s="286"/>
      <c r="O195" s="6"/>
    </row>
    <row r="196" spans="1:15" ht="15.6" x14ac:dyDescent="0.3">
      <c r="A196" s="275"/>
      <c r="B196" s="258" t="s">
        <v>112</v>
      </c>
      <c r="C196" s="256"/>
      <c r="D196" s="256"/>
      <c r="E196" s="256"/>
      <c r="F196" s="256"/>
      <c r="G196" s="256"/>
      <c r="H196" s="258"/>
      <c r="I196" s="258"/>
      <c r="J196" s="258"/>
      <c r="K196" s="375">
        <f>'July 14'!K196+452</f>
        <v>12386</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277">
        <v>0</v>
      </c>
      <c r="L198" s="258"/>
      <c r="M198" s="261"/>
      <c r="N198" s="286"/>
      <c r="O198" s="6"/>
    </row>
    <row r="199" spans="1:15" ht="15.6" x14ac:dyDescent="0.3">
      <c r="A199" s="275"/>
      <c r="B199" s="258" t="s">
        <v>113</v>
      </c>
      <c r="C199" s="256"/>
      <c r="D199" s="256"/>
      <c r="E199" s="290"/>
      <c r="F199" s="290"/>
      <c r="G199" s="291"/>
      <c r="H199" s="258"/>
      <c r="I199" s="258"/>
      <c r="J199" s="258"/>
      <c r="K199" s="292">
        <v>0</v>
      </c>
      <c r="L199" s="258"/>
      <c r="M199" s="261"/>
      <c r="N199" s="286"/>
      <c r="O199" s="6"/>
    </row>
    <row r="200" spans="1:15" ht="15.6" x14ac:dyDescent="0.3">
      <c r="A200" s="275"/>
      <c r="B200" s="258" t="s">
        <v>114</v>
      </c>
      <c r="C200" s="256"/>
      <c r="D200" s="256"/>
      <c r="E200" s="290"/>
      <c r="F200" s="290"/>
      <c r="G200" s="291"/>
      <c r="H200" s="258"/>
      <c r="I200" s="258"/>
      <c r="J200" s="258"/>
      <c r="K200" s="292">
        <v>0</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3252</v>
      </c>
      <c r="J205" s="232">
        <f>I205/I213</f>
        <v>0.86627597229621733</v>
      </c>
      <c r="K205" s="221">
        <v>66253</v>
      </c>
      <c r="L205" s="232">
        <f>K205/K213</f>
        <v>0.85984789492810054</v>
      </c>
      <c r="M205" s="228"/>
      <c r="N205" s="218"/>
      <c r="O205" s="6"/>
    </row>
    <row r="206" spans="1:15" ht="15.6" x14ac:dyDescent="0.3">
      <c r="A206" s="255"/>
      <c r="B206" s="256" t="s">
        <v>117</v>
      </c>
      <c r="C206" s="257"/>
      <c r="D206" s="257"/>
      <c r="E206" s="256"/>
      <c r="F206" s="257"/>
      <c r="G206" s="258"/>
      <c r="H206" s="259"/>
      <c r="I206" s="256">
        <v>110</v>
      </c>
      <c r="J206" s="259">
        <f>I206/I213</f>
        <v>2.9302077783697391E-2</v>
      </c>
      <c r="K206" s="260">
        <v>2109</v>
      </c>
      <c r="L206" s="259">
        <f>K206/K213</f>
        <v>2.7371125992836007E-2</v>
      </c>
      <c r="M206" s="261"/>
      <c r="N206" s="263"/>
      <c r="O206" s="6"/>
    </row>
    <row r="207" spans="1:15" ht="15.6" x14ac:dyDescent="0.3">
      <c r="A207" s="255"/>
      <c r="B207" s="256" t="s">
        <v>118</v>
      </c>
      <c r="C207" s="257"/>
      <c r="D207" s="257"/>
      <c r="E207" s="256"/>
      <c r="F207" s="257"/>
      <c r="G207" s="256"/>
      <c r="H207" s="259"/>
      <c r="I207" s="256">
        <v>67</v>
      </c>
      <c r="J207" s="259">
        <f>I207/I213</f>
        <v>1.7847629195524774E-2</v>
      </c>
      <c r="K207" s="260">
        <v>1546</v>
      </c>
      <c r="L207" s="259">
        <f>K207/K213</f>
        <v>2.0064372112339718E-2</v>
      </c>
      <c r="M207" s="374"/>
      <c r="N207" s="263"/>
      <c r="O207" s="6"/>
    </row>
    <row r="208" spans="1:15" ht="15.6" x14ac:dyDescent="0.3">
      <c r="A208" s="255"/>
      <c r="B208" s="256" t="s">
        <v>167</v>
      </c>
      <c r="C208" s="257"/>
      <c r="D208" s="257"/>
      <c r="E208" s="256"/>
      <c r="F208" s="257"/>
      <c r="G208" s="256"/>
      <c r="H208" s="259"/>
      <c r="I208" s="256">
        <v>51</v>
      </c>
      <c r="J208" s="259">
        <f>I208/I213</f>
        <v>1.3585508790623336E-2</v>
      </c>
      <c r="K208" s="260">
        <v>1066</v>
      </c>
      <c r="L208" s="259">
        <f>K208/K213</f>
        <v>1.383481285365727E-2</v>
      </c>
      <c r="M208" s="374"/>
      <c r="N208" s="263"/>
      <c r="O208" s="6"/>
    </row>
    <row r="209" spans="1:15" ht="15.6" x14ac:dyDescent="0.3">
      <c r="A209" s="255"/>
      <c r="B209" s="256" t="s">
        <v>168</v>
      </c>
      <c r="C209" s="257"/>
      <c r="D209" s="257"/>
      <c r="E209" s="256"/>
      <c r="F209" s="257"/>
      <c r="G209" s="258"/>
      <c r="H209" s="259"/>
      <c r="I209" s="256">
        <v>45</v>
      </c>
      <c r="J209" s="259">
        <f>I209/I213</f>
        <v>1.1987213638785296E-2</v>
      </c>
      <c r="K209" s="260">
        <v>1068</v>
      </c>
      <c r="L209" s="259">
        <f>K209/K213</f>
        <v>1.3860769350568448E-2</v>
      </c>
      <c r="M209" s="374"/>
      <c r="N209" s="262"/>
      <c r="O209" s="6"/>
    </row>
    <row r="210" spans="1:15" ht="15.6" x14ac:dyDescent="0.3">
      <c r="A210" s="255"/>
      <c r="B210" s="256" t="s">
        <v>169</v>
      </c>
      <c r="C210" s="257"/>
      <c r="D210" s="257"/>
      <c r="E210" s="256"/>
      <c r="F210" s="257"/>
      <c r="G210" s="258"/>
      <c r="H210" s="259"/>
      <c r="I210" s="256">
        <v>36</v>
      </c>
      <c r="J210" s="259">
        <f>I210/I213</f>
        <v>9.5897709110282364E-3</v>
      </c>
      <c r="K210" s="260">
        <v>667</v>
      </c>
      <c r="L210" s="259">
        <f>K210/K213</f>
        <v>8.6564917198774845E-3</v>
      </c>
      <c r="M210" s="374"/>
      <c r="N210" s="262"/>
      <c r="O210" s="6"/>
    </row>
    <row r="211" spans="1:15" ht="15.6" x14ac:dyDescent="0.3">
      <c r="A211" s="255"/>
      <c r="B211" s="256" t="s">
        <v>176</v>
      </c>
      <c r="C211" s="257"/>
      <c r="D211" s="257"/>
      <c r="E211" s="256"/>
      <c r="F211" s="257"/>
      <c r="G211" s="258"/>
      <c r="H211" s="259"/>
      <c r="I211" s="256">
        <v>113</v>
      </c>
      <c r="J211" s="259">
        <f>I211/I213</f>
        <v>3.0101225359616408E-2</v>
      </c>
      <c r="K211" s="260">
        <v>2297</v>
      </c>
      <c r="L211" s="259">
        <f>K211/K213</f>
        <v>2.9811036702486634E-2</v>
      </c>
      <c r="M211" s="261"/>
      <c r="N211" s="263"/>
      <c r="O211" s="6"/>
    </row>
    <row r="212" spans="1:15" ht="15.6" x14ac:dyDescent="0.3">
      <c r="A212" s="255"/>
      <c r="B212" s="256" t="s">
        <v>202</v>
      </c>
      <c r="C212" s="257"/>
      <c r="D212" s="257"/>
      <c r="E212" s="256"/>
      <c r="F212" s="257"/>
      <c r="G212" s="258"/>
      <c r="H212" s="259"/>
      <c r="I212" s="256">
        <v>80</v>
      </c>
      <c r="J212" s="259">
        <f>+I212/I213</f>
        <v>2.1310602024507193E-2</v>
      </c>
      <c r="K212" s="260">
        <v>2046</v>
      </c>
      <c r="L212" s="259">
        <f>+K212/K213</f>
        <v>2.6553496340133934E-2</v>
      </c>
      <c r="M212" s="261"/>
      <c r="N212" s="263"/>
      <c r="O212" s="6"/>
    </row>
    <row r="213" spans="1:15" ht="15.6" x14ac:dyDescent="0.3">
      <c r="A213" s="255"/>
      <c r="B213" s="258" t="s">
        <v>189</v>
      </c>
      <c r="C213" s="258"/>
      <c r="D213" s="258"/>
      <c r="E213" s="258"/>
      <c r="F213" s="258"/>
      <c r="G213" s="256"/>
      <c r="H213" s="258"/>
      <c r="I213" s="256">
        <f>SUM(I205:I212)</f>
        <v>3754</v>
      </c>
      <c r="J213" s="259">
        <f>SUM(J205:J212)</f>
        <v>1</v>
      </c>
      <c r="K213" s="260">
        <f>SUM(K205:K212)</f>
        <v>77052</v>
      </c>
      <c r="L213" s="259">
        <f>SUM(L205:L212)</f>
        <v>1</v>
      </c>
      <c r="M213" s="258"/>
      <c r="N213" s="264"/>
      <c r="O213" s="6"/>
    </row>
    <row r="214" spans="1:15" ht="15.6" x14ac:dyDescent="0.3">
      <c r="A214" s="255"/>
      <c r="B214" s="256" t="s">
        <v>170</v>
      </c>
      <c r="C214" s="257"/>
      <c r="D214" s="257"/>
      <c r="E214" s="256"/>
      <c r="F214" s="257"/>
      <c r="G214" s="256"/>
      <c r="H214" s="259"/>
      <c r="I214" s="256">
        <v>304</v>
      </c>
      <c r="J214" s="259"/>
      <c r="K214" s="260">
        <v>8625</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1.0952999999999999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OCTOBER 2014</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600-000000000000}"/>
    <hyperlink ref="K202" r:id="rId2" xr:uid="{00000000-0004-0000-26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38772</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4.82625E-2</v>
      </c>
      <c r="D36" s="27"/>
      <c r="E36" s="41">
        <v>5.3762499999999998E-2</v>
      </c>
      <c r="F36" s="42"/>
      <c r="G36" s="41">
        <v>5.62625E-2</v>
      </c>
      <c r="H36" s="42"/>
      <c r="I36" s="41"/>
      <c r="J36" s="42"/>
      <c r="K36" s="41"/>
      <c r="L36" s="142"/>
      <c r="M36" s="42">
        <f>SUMPRODUCT(C36:G36,C31:G31)/M31</f>
        <v>4.9752499999999998E-2</v>
      </c>
      <c r="N36" s="27"/>
      <c r="O36" s="6"/>
    </row>
    <row r="37" spans="1:15" ht="15.6" x14ac:dyDescent="0.3">
      <c r="A37" s="26"/>
      <c r="B37" s="27" t="s">
        <v>19</v>
      </c>
      <c r="C37" s="41">
        <v>4.7862500000000002E-2</v>
      </c>
      <c r="D37" s="27"/>
      <c r="E37" s="41">
        <v>5.33625E-2</v>
      </c>
      <c r="F37" s="42"/>
      <c r="G37" s="41">
        <v>5.5862500000000002E-2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27"/>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38763</v>
      </c>
      <c r="N47" s="27"/>
      <c r="O47" s="6"/>
    </row>
    <row r="48" spans="1:15" ht="15.6" x14ac:dyDescent="0.3">
      <c r="A48" s="26"/>
      <c r="B48" s="27" t="s">
        <v>26</v>
      </c>
      <c r="C48" s="27"/>
      <c r="D48" s="27"/>
      <c r="E48" s="27"/>
      <c r="F48" s="27"/>
      <c r="G48" s="27"/>
      <c r="H48" s="27"/>
      <c r="I48" s="27"/>
      <c r="J48" s="27">
        <f>M48-K48+1</f>
        <v>92</v>
      </c>
      <c r="K48" s="48">
        <v>38579</v>
      </c>
      <c r="L48" s="49"/>
      <c r="M48" s="48">
        <v>38670</v>
      </c>
      <c r="N48" s="27"/>
      <c r="O48" s="6"/>
    </row>
    <row r="49" spans="1:15" ht="15.6" x14ac:dyDescent="0.3">
      <c r="A49" s="26"/>
      <c r="B49" s="27" t="s">
        <v>27</v>
      </c>
      <c r="C49" s="27"/>
      <c r="D49" s="27"/>
      <c r="E49" s="27"/>
      <c r="F49" s="27"/>
      <c r="G49" s="27"/>
      <c r="H49" s="27"/>
      <c r="I49" s="27"/>
      <c r="J49" s="27">
        <f>M49-K49+1</f>
        <v>92</v>
      </c>
      <c r="K49" s="48">
        <v>38671</v>
      </c>
      <c r="L49" s="49"/>
      <c r="M49" s="48">
        <v>38762</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38749</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203</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261495</v>
      </c>
      <c r="F59" s="37"/>
      <c r="G59" s="37">
        <f>26950+2895+530+462+101</f>
        <v>30938</v>
      </c>
      <c r="H59" s="37"/>
      <c r="I59" s="37">
        <f>384+31567</f>
        <v>31951</v>
      </c>
      <c r="J59" s="37"/>
      <c r="K59" s="37">
        <v>0</v>
      </c>
      <c r="L59" s="37"/>
      <c r="M59" s="56">
        <f>E59-G59+I59-K59</f>
        <v>262508</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261495</v>
      </c>
      <c r="F63" s="37"/>
      <c r="G63" s="37">
        <f>SUM(G59:G62)</f>
        <v>30938</v>
      </c>
      <c r="H63" s="37"/>
      <c r="I63" s="37">
        <f>SUM(I59:I62)</f>
        <v>31951</v>
      </c>
      <c r="J63" s="37"/>
      <c r="K63" s="37">
        <f>SUM(K59:K62)</f>
        <v>0</v>
      </c>
      <c r="L63" s="37"/>
      <c r="M63" s="57">
        <f>SUM(M59:M62)</f>
        <v>262508</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v>0</v>
      </c>
      <c r="J73" s="37"/>
      <c r="K73" s="37"/>
      <c r="L73" s="37"/>
      <c r="M73" s="57">
        <f>+E73+I73</f>
        <v>0</v>
      </c>
      <c r="N73" s="27"/>
      <c r="O73" s="6"/>
    </row>
    <row r="74" spans="1:16" ht="15.6" x14ac:dyDescent="0.3">
      <c r="A74" s="26"/>
      <c r="B74" s="27" t="s">
        <v>171</v>
      </c>
      <c r="C74" s="37">
        <v>0</v>
      </c>
      <c r="D74" s="37"/>
      <c r="E74" s="37">
        <v>38505</v>
      </c>
      <c r="F74" s="37"/>
      <c r="G74" s="37"/>
      <c r="H74" s="37"/>
      <c r="I74" s="37"/>
      <c r="J74" s="37"/>
      <c r="K74" s="37"/>
      <c r="L74" s="37"/>
      <c r="M74" s="57">
        <f>K112-M73</f>
        <v>37492</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38748</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+'Oct 2005'!K110</f>
        <v>38505</v>
      </c>
      <c r="L80" s="27"/>
      <c r="M80" s="56">
        <v>0</v>
      </c>
      <c r="N80" s="27"/>
      <c r="O80" s="6"/>
    </row>
    <row r="81" spans="1:16" ht="15.6" x14ac:dyDescent="0.3">
      <c r="A81" s="26"/>
      <c r="B81" s="27" t="s">
        <v>42</v>
      </c>
      <c r="C81" s="43" t="s">
        <v>207</v>
      </c>
      <c r="D81" s="60" t="s">
        <v>207</v>
      </c>
      <c r="E81" s="61"/>
      <c r="F81" s="27"/>
      <c r="G81" s="27"/>
      <c r="H81" s="27"/>
      <c r="I81" s="27"/>
      <c r="J81" s="27"/>
      <c r="K81" s="37">
        <f>30938-462</f>
        <v>30476</v>
      </c>
      <c r="L81" s="27"/>
      <c r="M81" s="56"/>
      <c r="N81" s="27"/>
      <c r="O81" s="6"/>
    </row>
    <row r="82" spans="1:16" ht="15.6" x14ac:dyDescent="0.3">
      <c r="A82" s="26"/>
      <c r="B82" s="27" t="s">
        <v>204</v>
      </c>
      <c r="C82" s="43"/>
      <c r="D82" s="60"/>
      <c r="E82" s="61"/>
      <c r="F82" s="27"/>
      <c r="G82" s="27"/>
      <c r="H82" s="27"/>
      <c r="I82" s="27"/>
      <c r="J82" s="27"/>
      <c r="K82" s="37"/>
      <c r="L82" s="27"/>
      <c r="M82" s="56">
        <f>8620-2746</f>
        <v>5874</v>
      </c>
      <c r="N82" s="27"/>
      <c r="O82" s="6"/>
    </row>
    <row r="83" spans="1:16" ht="15.6" x14ac:dyDescent="0.3">
      <c r="A83" s="26"/>
      <c r="B83" s="27" t="s">
        <v>205</v>
      </c>
      <c r="C83" s="43"/>
      <c r="D83" s="60"/>
      <c r="E83" s="61"/>
      <c r="F83" s="27"/>
      <c r="G83" s="27"/>
      <c r="H83" s="27"/>
      <c r="I83" s="27"/>
      <c r="J83" s="27"/>
      <c r="K83" s="37"/>
      <c r="L83" s="27"/>
      <c r="M83" s="56">
        <v>1752</v>
      </c>
      <c r="N83" s="27"/>
      <c r="O83" s="6"/>
    </row>
    <row r="84" spans="1:16" ht="15.6" x14ac:dyDescent="0.3">
      <c r="A84" s="26"/>
      <c r="B84" s="27" t="s">
        <v>206</v>
      </c>
      <c r="C84" s="43"/>
      <c r="D84" s="60"/>
      <c r="E84" s="61"/>
      <c r="F84" s="27"/>
      <c r="G84" s="27"/>
      <c r="H84" s="27"/>
      <c r="I84" s="27"/>
      <c r="J84" s="27"/>
      <c r="K84" s="37"/>
      <c r="L84" s="27"/>
      <c r="M84" s="56">
        <v>774</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68981</v>
      </c>
      <c r="L86" s="27"/>
      <c r="M86" s="57">
        <f>SUM(M80:M85)</f>
        <v>8400</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68981</v>
      </c>
      <c r="L88" s="27"/>
      <c r="M88" s="57">
        <f>M86+M87</f>
        <v>8400</v>
      </c>
      <c r="N88" s="27"/>
      <c r="O88" s="6"/>
      <c r="P88" s="156"/>
    </row>
    <row r="89" spans="1:16" ht="15.6" x14ac:dyDescent="0.3">
      <c r="A89" s="26"/>
      <c r="B89" s="126" t="s">
        <v>48</v>
      </c>
      <c r="C89" s="62"/>
      <c r="D89" s="62"/>
      <c r="E89" s="27"/>
      <c r="F89" s="27"/>
      <c r="G89" s="27"/>
      <c r="H89" s="27"/>
      <c r="I89" s="27"/>
      <c r="J89" s="27"/>
      <c r="K89" s="37"/>
      <c r="L89" s="27"/>
      <c r="M89" s="56"/>
      <c r="N89" s="27"/>
      <c r="O89" s="6"/>
      <c r="P89" s="117"/>
    </row>
    <row r="90" spans="1:16" ht="15.6" x14ac:dyDescent="0.3">
      <c r="A90" s="26">
        <v>1</v>
      </c>
      <c r="B90" s="27" t="s">
        <v>49</v>
      </c>
      <c r="C90" s="27"/>
      <c r="D90" s="27"/>
      <c r="E90" s="27"/>
      <c r="F90" s="27"/>
      <c r="G90" s="27"/>
      <c r="H90" s="27"/>
      <c r="I90" s="27"/>
      <c r="J90" s="27"/>
      <c r="K90" s="27"/>
      <c r="L90" s="27"/>
      <c r="M90" s="56">
        <v>-111</v>
      </c>
      <c r="N90" s="27"/>
      <c r="O90" s="6"/>
      <c r="P90" s="156"/>
    </row>
    <row r="91" spans="1:16" ht="15.6" x14ac:dyDescent="0.3">
      <c r="A91" s="26">
        <v>2</v>
      </c>
      <c r="B91" s="27" t="s">
        <v>50</v>
      </c>
      <c r="C91" s="27"/>
      <c r="D91" s="27"/>
      <c r="E91" s="27"/>
      <c r="F91" s="27"/>
      <c r="G91" s="27"/>
      <c r="H91" s="27"/>
      <c r="I91" s="27"/>
      <c r="J91" s="27"/>
      <c r="K91" s="27"/>
      <c r="L91" s="27"/>
      <c r="M91" s="56">
        <v>-2</v>
      </c>
      <c r="N91" s="27"/>
      <c r="O91" s="6"/>
    </row>
    <row r="92" spans="1:16" ht="15.6" x14ac:dyDescent="0.3">
      <c r="A92" s="26">
        <v>3</v>
      </c>
      <c r="B92" s="27" t="s">
        <v>194</v>
      </c>
      <c r="C92" s="27"/>
      <c r="D92" s="27"/>
      <c r="E92" s="27"/>
      <c r="F92" s="27"/>
      <c r="G92" s="27"/>
      <c r="H92" s="27"/>
      <c r="I92" s="27"/>
      <c r="J92" s="27"/>
      <c r="K92" s="27"/>
      <c r="L92" s="27"/>
      <c r="M92" s="56">
        <f>-100-60-7</f>
        <v>-167</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-2810</v>
      </c>
      <c r="N94" s="27"/>
      <c r="O94" s="6"/>
    </row>
    <row r="95" spans="1:16" ht="15.6" x14ac:dyDescent="0.3">
      <c r="A95" s="26">
        <v>5</v>
      </c>
      <c r="B95" s="27" t="s">
        <v>52</v>
      </c>
      <c r="C95" s="27"/>
      <c r="D95" s="27"/>
      <c r="E95" s="27"/>
      <c r="F95" s="27"/>
      <c r="G95" s="27"/>
      <c r="H95" s="27"/>
      <c r="I95" s="27"/>
      <c r="J95" s="27"/>
      <c r="K95" s="27"/>
      <c r="L95" s="27"/>
      <c r="M95" s="56">
        <v>-569</v>
      </c>
      <c r="N95" s="27"/>
      <c r="O95" s="6"/>
    </row>
    <row r="96" spans="1:16" ht="15.6" x14ac:dyDescent="0.3">
      <c r="A96" s="26">
        <v>6</v>
      </c>
      <c r="B96" s="27" t="s">
        <v>172</v>
      </c>
      <c r="C96" s="27"/>
      <c r="D96" s="27"/>
      <c r="E96" s="27"/>
      <c r="F96" s="27"/>
      <c r="G96" s="27"/>
      <c r="H96" s="27"/>
      <c r="I96" s="27"/>
      <c r="J96" s="27"/>
      <c r="K96" s="27"/>
      <c r="L96" s="27"/>
      <c r="M96" s="56">
        <v>-383</v>
      </c>
      <c r="N96" s="27"/>
      <c r="O96" s="6"/>
    </row>
    <row r="97" spans="1:15" ht="15.6" x14ac:dyDescent="0.3">
      <c r="A97" s="26">
        <v>7</v>
      </c>
      <c r="B97" s="27" t="s">
        <v>53</v>
      </c>
      <c r="C97" s="27"/>
      <c r="D97" s="27"/>
      <c r="E97" s="27"/>
      <c r="F97" s="27"/>
      <c r="G97" s="27"/>
      <c r="H97" s="27"/>
      <c r="I97" s="27"/>
      <c r="J97" s="27"/>
      <c r="K97" s="27"/>
      <c r="L97" s="27"/>
      <c r="M97" s="56">
        <v>-5</v>
      </c>
      <c r="N97" s="27"/>
      <c r="O97" s="6"/>
    </row>
    <row r="98" spans="1:15" ht="15.6" x14ac:dyDescent="0.3">
      <c r="A98" s="26">
        <v>8</v>
      </c>
      <c r="B98" s="27" t="s">
        <v>69</v>
      </c>
      <c r="C98" s="27"/>
      <c r="D98" s="27"/>
      <c r="E98" s="27"/>
      <c r="F98" s="27"/>
      <c r="G98" s="27"/>
      <c r="H98" s="27"/>
      <c r="I98" s="27"/>
      <c r="J98" s="27"/>
      <c r="K98" s="37">
        <f>-M98</f>
        <v>462</v>
      </c>
      <c r="L98" s="27"/>
      <c r="M98" s="56">
        <v>-462</v>
      </c>
      <c r="N98" s="27"/>
      <c r="O98" s="6"/>
    </row>
    <row r="99" spans="1:15" ht="15.6" x14ac:dyDescent="0.3">
      <c r="A99" s="26">
        <v>9</v>
      </c>
      <c r="B99" s="27" t="s">
        <v>193</v>
      </c>
      <c r="C99" s="27"/>
      <c r="D99" s="27"/>
      <c r="E99" s="27"/>
      <c r="F99" s="27"/>
      <c r="G99" s="27"/>
      <c r="H99" s="27"/>
      <c r="I99" s="27"/>
      <c r="J99" s="27"/>
      <c r="K99" s="27"/>
      <c r="L99" s="27"/>
      <c r="M99" s="56">
        <v>0</v>
      </c>
      <c r="N99" s="27"/>
      <c r="O99" s="6"/>
    </row>
    <row r="100" spans="1:15" ht="15.6" x14ac:dyDescent="0.3">
      <c r="A100" s="26">
        <v>10</v>
      </c>
      <c r="B100" s="27" t="s">
        <v>54</v>
      </c>
      <c r="C100" s="27"/>
      <c r="D100" s="27"/>
      <c r="E100" s="27"/>
      <c r="F100" s="27"/>
      <c r="G100" s="27"/>
      <c r="H100" s="27"/>
      <c r="I100" s="27"/>
      <c r="J100" s="27"/>
      <c r="K100" s="27"/>
      <c r="L100" s="27"/>
      <c r="M100" s="56">
        <v>0</v>
      </c>
      <c r="N100" s="27"/>
      <c r="O100" s="6"/>
    </row>
    <row r="101" spans="1:15" ht="15.6" x14ac:dyDescent="0.3">
      <c r="A101" s="26">
        <v>11</v>
      </c>
      <c r="B101" s="27" t="s">
        <v>55</v>
      </c>
      <c r="C101" s="27"/>
      <c r="D101" s="27"/>
      <c r="E101" s="27"/>
      <c r="F101" s="27"/>
      <c r="G101" s="27"/>
      <c r="H101" s="27"/>
      <c r="I101" s="27"/>
      <c r="J101" s="27"/>
      <c r="K101" s="27"/>
      <c r="L101" s="27"/>
      <c r="M101" s="56">
        <v>0</v>
      </c>
      <c r="N101" s="27"/>
      <c r="O101" s="6"/>
    </row>
    <row r="102" spans="1:15" ht="15.6" x14ac:dyDescent="0.3">
      <c r="A102" s="26">
        <v>12</v>
      </c>
      <c r="B102" s="27" t="s">
        <v>173</v>
      </c>
      <c r="C102" s="27"/>
      <c r="D102" s="27"/>
      <c r="E102" s="27"/>
      <c r="F102" s="27"/>
      <c r="G102" s="27"/>
      <c r="H102" s="27"/>
      <c r="I102" s="27"/>
      <c r="J102" s="27"/>
      <c r="K102" s="27"/>
      <c r="L102" s="27"/>
      <c r="M102" s="56">
        <v>-99</v>
      </c>
      <c r="N102" s="27"/>
      <c r="O102" s="6"/>
    </row>
    <row r="103" spans="1:15" ht="15.6" x14ac:dyDescent="0.3">
      <c r="A103" s="26">
        <v>13</v>
      </c>
      <c r="B103" s="27" t="s">
        <v>195</v>
      </c>
      <c r="C103" s="27"/>
      <c r="D103" s="27"/>
      <c r="E103" s="27"/>
      <c r="F103" s="27"/>
      <c r="G103" s="27"/>
      <c r="H103" s="27"/>
      <c r="I103" s="27"/>
      <c r="J103" s="27"/>
      <c r="K103" s="27"/>
      <c r="L103" s="27"/>
      <c r="M103" s="56">
        <f>-M88-SUM(M90:M102)</f>
        <v>-3792</v>
      </c>
      <c r="N103" s="27"/>
      <c r="O103" s="6"/>
    </row>
    <row r="104" spans="1:15" ht="15.6" x14ac:dyDescent="0.3">
      <c r="A104" s="26"/>
      <c r="B104" s="126" t="s">
        <v>56</v>
      </c>
      <c r="C104" s="62"/>
      <c r="D104" s="62"/>
      <c r="E104" s="27"/>
      <c r="F104" s="27"/>
      <c r="G104" s="27"/>
      <c r="H104" s="27"/>
      <c r="I104" s="27"/>
      <c r="J104" s="27"/>
      <c r="K104" s="27"/>
      <c r="L104" s="27"/>
      <c r="M104" s="63"/>
      <c r="N104" s="27"/>
      <c r="O104" s="6"/>
    </row>
    <row r="105" spans="1:15" ht="15.6" x14ac:dyDescent="0.3">
      <c r="A105" s="26"/>
      <c r="B105" s="27" t="s">
        <v>57</v>
      </c>
      <c r="C105" s="62"/>
      <c r="D105" s="62"/>
      <c r="E105" s="27"/>
      <c r="F105" s="27"/>
      <c r="G105" s="27"/>
      <c r="H105" s="27"/>
      <c r="I105" s="27"/>
      <c r="J105" s="27"/>
      <c r="K105" s="37">
        <f>-K154</f>
        <v>0</v>
      </c>
      <c r="L105" s="37"/>
      <c r="M105" s="56"/>
      <c r="N105" s="27"/>
      <c r="O105" s="6"/>
    </row>
    <row r="106" spans="1:15" ht="15.6" x14ac:dyDescent="0.3">
      <c r="A106" s="26"/>
      <c r="B106" s="27" t="s">
        <v>58</v>
      </c>
      <c r="C106" s="27"/>
      <c r="D106" s="27"/>
      <c r="E106" s="27"/>
      <c r="F106" s="27"/>
      <c r="G106" s="27"/>
      <c r="H106" s="27"/>
      <c r="I106" s="27"/>
      <c r="J106" s="27"/>
      <c r="K106" s="37">
        <f>-I154</f>
        <v>-384</v>
      </c>
      <c r="L106" s="37"/>
      <c r="M106" s="56"/>
      <c r="N106" s="27"/>
      <c r="O106" s="6"/>
    </row>
    <row r="107" spans="1:15" ht="15.6" x14ac:dyDescent="0.3">
      <c r="A107" s="26"/>
      <c r="B107" s="27" t="s">
        <v>187</v>
      </c>
      <c r="C107" s="27"/>
      <c r="D107" s="27"/>
      <c r="E107" s="27"/>
      <c r="F107" s="27"/>
      <c r="G107" s="27"/>
      <c r="H107" s="27"/>
      <c r="I107" s="27"/>
      <c r="J107" s="27"/>
      <c r="K107" s="37">
        <v>-31567</v>
      </c>
      <c r="L107" s="37"/>
      <c r="M107" s="56"/>
      <c r="N107" s="27"/>
      <c r="O107" s="6"/>
    </row>
    <row r="108" spans="1:15" ht="15.6" x14ac:dyDescent="0.3">
      <c r="A108" s="26"/>
      <c r="B108" s="27" t="s">
        <v>185</v>
      </c>
      <c r="C108" s="27"/>
      <c r="D108" s="27"/>
      <c r="E108" s="27"/>
      <c r="F108" s="27"/>
      <c r="G108" s="27"/>
      <c r="H108" s="27"/>
      <c r="I108" s="27"/>
      <c r="J108" s="27"/>
      <c r="K108" s="37">
        <v>0</v>
      </c>
      <c r="L108" s="37"/>
      <c r="M108" s="56"/>
      <c r="N108" s="27"/>
      <c r="O108" s="6"/>
    </row>
    <row r="109" spans="1:15" ht="15.6" x14ac:dyDescent="0.3">
      <c r="A109" s="26"/>
      <c r="B109" s="27" t="s">
        <v>59</v>
      </c>
      <c r="C109" s="27"/>
      <c r="D109" s="27"/>
      <c r="E109" s="27"/>
      <c r="F109" s="27"/>
      <c r="G109" s="27"/>
      <c r="H109" s="27"/>
      <c r="I109" s="27"/>
      <c r="J109" s="27"/>
      <c r="K109" s="37">
        <v>0</v>
      </c>
      <c r="L109" s="37"/>
      <c r="M109" s="56"/>
      <c r="N109" s="27"/>
      <c r="O109" s="6"/>
    </row>
    <row r="110" spans="1:15" ht="15.6" x14ac:dyDescent="0.3">
      <c r="A110" s="26"/>
      <c r="B110" s="27" t="s">
        <v>186</v>
      </c>
      <c r="C110" s="27"/>
      <c r="D110" s="27"/>
      <c r="E110" s="27"/>
      <c r="F110" s="27"/>
      <c r="G110" s="27"/>
      <c r="H110" s="27"/>
      <c r="I110" s="27"/>
      <c r="J110" s="27"/>
      <c r="K110" s="37">
        <v>0</v>
      </c>
      <c r="L110" s="37"/>
      <c r="M110" s="56"/>
      <c r="N110" s="27"/>
      <c r="O110" s="6"/>
    </row>
    <row r="111" spans="1:15" ht="15.6" x14ac:dyDescent="0.3">
      <c r="A111" s="26"/>
      <c r="B111" s="27" t="s">
        <v>60</v>
      </c>
      <c r="C111" s="27"/>
      <c r="D111" s="27"/>
      <c r="E111" s="27"/>
      <c r="F111" s="27"/>
      <c r="G111" s="27"/>
      <c r="H111" s="27"/>
      <c r="I111" s="27"/>
      <c r="J111" s="27"/>
      <c r="K111" s="37">
        <f>+K106+K107</f>
        <v>-31951</v>
      </c>
      <c r="L111" s="37"/>
      <c r="M111" s="37">
        <f>SUM(M89:M110)</f>
        <v>-8400</v>
      </c>
      <c r="N111" s="27"/>
      <c r="O111" s="6"/>
    </row>
    <row r="112" spans="1:15" ht="15.6" x14ac:dyDescent="0.3">
      <c r="A112" s="26"/>
      <c r="B112" s="27" t="s">
        <v>61</v>
      </c>
      <c r="C112" s="27"/>
      <c r="D112" s="27"/>
      <c r="E112" s="27"/>
      <c r="F112" s="27"/>
      <c r="G112" s="27"/>
      <c r="H112" s="27"/>
      <c r="I112" s="27"/>
      <c r="J112" s="27"/>
      <c r="K112" s="37">
        <f>K88+K111+K98</f>
        <v>37492</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JANUARY 2006</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60</v>
      </c>
      <c r="N138" s="27"/>
      <c r="O138" s="6"/>
    </row>
    <row r="139" spans="1:15" ht="15.6" x14ac:dyDescent="0.3">
      <c r="A139" s="26"/>
      <c r="B139" s="27" t="s">
        <v>180</v>
      </c>
      <c r="C139" s="27"/>
      <c r="D139" s="27"/>
      <c r="E139" s="27"/>
      <c r="F139" s="27"/>
      <c r="G139" s="27"/>
      <c r="H139" s="27"/>
      <c r="I139" s="27"/>
      <c r="J139" s="27"/>
      <c r="K139" s="27"/>
      <c r="L139" s="27"/>
      <c r="M139" s="56">
        <v>402</v>
      </c>
      <c r="N139" s="27"/>
      <c r="O139" s="6"/>
    </row>
    <row r="140" spans="1:15" ht="15.6" x14ac:dyDescent="0.3">
      <c r="A140" s="26"/>
      <c r="B140" s="27" t="s">
        <v>77</v>
      </c>
      <c r="C140" s="27"/>
      <c r="D140" s="27"/>
      <c r="E140" s="27"/>
      <c r="F140" s="27"/>
      <c r="G140" s="27"/>
      <c r="H140" s="27"/>
      <c r="I140" s="27"/>
      <c r="J140" s="27"/>
      <c r="K140" s="27"/>
      <c r="L140" s="27"/>
      <c r="M140" s="56">
        <f>M138+M137+M139</f>
        <v>462</v>
      </c>
      <c r="N140" s="27"/>
      <c r="O140" s="6"/>
    </row>
    <row r="141" spans="1:15" ht="15.6" x14ac:dyDescent="0.3">
      <c r="A141" s="26"/>
      <c r="B141" s="27" t="s">
        <v>183</v>
      </c>
      <c r="C141" s="27"/>
      <c r="D141" s="27"/>
      <c r="E141" s="27"/>
      <c r="F141" s="27"/>
      <c r="G141" s="27"/>
      <c r="H141" s="27"/>
      <c r="I141" s="70"/>
      <c r="J141" s="27"/>
      <c r="K141" s="27"/>
      <c r="L141" s="27"/>
      <c r="M141" s="56">
        <f>M98</f>
        <v>-462</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+'Oct 2005'!I153</f>
        <v>1194</v>
      </c>
      <c r="J153" s="27"/>
      <c r="K153" s="56">
        <v>0</v>
      </c>
      <c r="L153" s="27"/>
      <c r="M153" s="56">
        <f>K153+I153</f>
        <v>1194</v>
      </c>
      <c r="N153" s="27"/>
      <c r="O153" s="6"/>
    </row>
    <row r="154" spans="1:16" ht="15.6" x14ac:dyDescent="0.3">
      <c r="A154" s="26"/>
      <c r="B154" s="27" t="s">
        <v>84</v>
      </c>
      <c r="C154" s="27"/>
      <c r="D154" s="27"/>
      <c r="E154" s="27"/>
      <c r="F154" s="27"/>
      <c r="G154" s="27"/>
      <c r="H154" s="27"/>
      <c r="I154" s="37">
        <v>384</v>
      </c>
      <c r="J154" s="27"/>
      <c r="K154" s="27">
        <v>0</v>
      </c>
      <c r="L154" s="27"/>
      <c r="M154" s="56">
        <f>K154+I154</f>
        <v>384</v>
      </c>
      <c r="N154" s="27"/>
      <c r="O154" s="6"/>
    </row>
    <row r="155" spans="1:16" ht="15.6" x14ac:dyDescent="0.3">
      <c r="A155" s="26"/>
      <c r="B155" s="27" t="s">
        <v>85</v>
      </c>
      <c r="C155" s="27"/>
      <c r="D155" s="27"/>
      <c r="E155" s="27"/>
      <c r="F155" s="27"/>
      <c r="G155" s="27"/>
      <c r="H155" s="27"/>
      <c r="I155" s="56">
        <f>I153+I154</f>
        <v>1578</v>
      </c>
      <c r="J155" s="27"/>
      <c r="K155" s="56">
        <f>K154+K153</f>
        <v>0</v>
      </c>
      <c r="L155" s="27"/>
      <c r="M155" s="56">
        <f>K155+I155</f>
        <v>1578</v>
      </c>
      <c r="N155" s="27"/>
      <c r="O155" s="6"/>
    </row>
    <row r="156" spans="1:16" ht="15.6" x14ac:dyDescent="0.3">
      <c r="A156" s="26"/>
      <c r="B156" s="27" t="s">
        <v>86</v>
      </c>
      <c r="C156" s="27"/>
      <c r="D156" s="27"/>
      <c r="E156" s="27"/>
      <c r="F156" s="27"/>
      <c r="G156" s="27"/>
      <c r="H156" s="27"/>
      <c r="I156" s="56">
        <f>I152-I155-K155</f>
        <v>13422</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2.8896797153024911</v>
      </c>
      <c r="N160" s="27" t="s">
        <v>145</v>
      </c>
      <c r="O160" s="6"/>
    </row>
    <row r="161" spans="1:15" ht="15.6" x14ac:dyDescent="0.3">
      <c r="A161" s="26"/>
      <c r="B161" s="27" t="s">
        <v>89</v>
      </c>
      <c r="C161" s="27"/>
      <c r="D161" s="27"/>
      <c r="E161" s="27"/>
      <c r="F161" s="27"/>
      <c r="G161" s="27"/>
      <c r="H161" s="27"/>
      <c r="I161" s="27"/>
      <c r="J161" s="27"/>
      <c r="K161" s="27"/>
      <c r="L161" s="27"/>
      <c r="M161" s="73">
        <v>2.4500000000000002</v>
      </c>
      <c r="N161" s="27" t="s">
        <v>145</v>
      </c>
      <c r="O161" s="6"/>
    </row>
    <row r="162" spans="1:15" ht="15.6" x14ac:dyDescent="0.3">
      <c r="A162" s="26"/>
      <c r="B162" s="27" t="s">
        <v>90</v>
      </c>
      <c r="C162" s="27"/>
      <c r="D162" s="27"/>
      <c r="E162" s="27"/>
      <c r="F162" s="27"/>
      <c r="G162" s="27"/>
      <c r="H162" s="27"/>
      <c r="I162" s="27"/>
      <c r="J162" s="27"/>
      <c r="K162" s="27"/>
      <c r="L162" s="27"/>
      <c r="M162" s="63">
        <f>(M88+M90+M91+M92+M93+M94)/-M95</f>
        <v>9.3321616871704745</v>
      </c>
      <c r="N162" s="27" t="s">
        <v>145</v>
      </c>
      <c r="O162" s="6"/>
    </row>
    <row r="163" spans="1:15" ht="15.6" x14ac:dyDescent="0.3">
      <c r="A163" s="26"/>
      <c r="B163" s="27" t="s">
        <v>91</v>
      </c>
      <c r="C163" s="27"/>
      <c r="D163" s="27"/>
      <c r="E163" s="27"/>
      <c r="F163" s="27"/>
      <c r="G163" s="27"/>
      <c r="H163" s="27"/>
      <c r="I163" s="27"/>
      <c r="J163" s="27"/>
      <c r="K163" s="27"/>
      <c r="L163" s="27"/>
      <c r="M163" s="74">
        <v>7.19</v>
      </c>
      <c r="N163" s="27" t="s">
        <v>145</v>
      </c>
      <c r="O163" s="6"/>
    </row>
    <row r="164" spans="1:15" ht="15.6" x14ac:dyDescent="0.3">
      <c r="A164" s="26"/>
      <c r="B164" s="27" t="s">
        <v>181</v>
      </c>
      <c r="C164" s="27"/>
      <c r="D164" s="27"/>
      <c r="E164" s="27"/>
      <c r="F164" s="27"/>
      <c r="G164" s="27"/>
      <c r="H164" s="27"/>
      <c r="I164" s="27"/>
      <c r="J164" s="27"/>
      <c r="K164" s="27"/>
      <c r="L164" s="27"/>
      <c r="M164" s="63">
        <f>(M88+M90+M91+M92+M93+M94+M95)/-M96</f>
        <v>12.378590078328982</v>
      </c>
      <c r="N164" s="27" t="s">
        <v>145</v>
      </c>
      <c r="O164" s="6"/>
    </row>
    <row r="165" spans="1:15" ht="15.6" x14ac:dyDescent="0.3">
      <c r="A165" s="26"/>
      <c r="B165" s="27" t="s">
        <v>182</v>
      </c>
      <c r="C165" s="27"/>
      <c r="D165" s="27"/>
      <c r="E165" s="27"/>
      <c r="F165" s="27"/>
      <c r="G165" s="27"/>
      <c r="H165" s="27"/>
      <c r="I165" s="27"/>
      <c r="J165" s="27"/>
      <c r="K165" s="27"/>
      <c r="L165" s="27"/>
      <c r="M165" s="74">
        <v>9.2100000000000009</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JANUARY 2006</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t="str">
        <f>D81</f>
        <v xml:space="preserve"> </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9.01E-2</v>
      </c>
      <c r="L175" s="27"/>
      <c r="M175" s="27"/>
      <c r="N175" s="27"/>
      <c r="O175" s="6"/>
    </row>
    <row r="176" spans="1:15" ht="15.6" x14ac:dyDescent="0.3">
      <c r="A176" s="83"/>
      <c r="B176" s="84" t="s">
        <v>97</v>
      </c>
      <c r="C176" s="85"/>
      <c r="D176" s="85"/>
      <c r="E176" s="85"/>
      <c r="F176" s="85"/>
      <c r="G176" s="85"/>
      <c r="H176" s="70"/>
      <c r="I176" s="70"/>
      <c r="J176" s="70"/>
      <c r="K176" s="86">
        <f>M36</f>
        <v>4.9752499999999998E-2</v>
      </c>
      <c r="L176" s="27"/>
      <c r="M176" s="27"/>
      <c r="N176" s="27"/>
      <c r="O176" s="6"/>
    </row>
    <row r="177" spans="1:15" ht="15.6" x14ac:dyDescent="0.3">
      <c r="A177" s="83"/>
      <c r="B177" s="84" t="s">
        <v>98</v>
      </c>
      <c r="C177" s="85"/>
      <c r="D177" s="85"/>
      <c r="E177" s="85"/>
      <c r="F177" s="85"/>
      <c r="G177" s="85"/>
      <c r="H177" s="70"/>
      <c r="I177" s="70"/>
      <c r="J177" s="70"/>
      <c r="K177" s="86">
        <f>K175-K176</f>
        <v>4.0347500000000001E-2</v>
      </c>
      <c r="L177" s="27"/>
      <c r="M177" s="27"/>
      <c r="N177" s="27"/>
      <c r="O177" s="6"/>
    </row>
    <row r="178" spans="1:15" ht="15.6" x14ac:dyDescent="0.3">
      <c r="A178" s="83"/>
      <c r="B178" s="84" t="s">
        <v>211</v>
      </c>
      <c r="C178" s="85"/>
      <c r="D178" s="85"/>
      <c r="E178" s="85"/>
      <c r="F178" s="85"/>
      <c r="G178" s="85"/>
      <c r="H178" s="70"/>
      <c r="I178" s="70"/>
      <c r="J178" s="70"/>
      <c r="K178" s="86">
        <f>(+M88+M90)/E59</f>
        <v>3.1698502839442436E-2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15.95</v>
      </c>
      <c r="L183" s="27" t="s">
        <v>139</v>
      </c>
      <c r="M183" s="27"/>
      <c r="N183" s="27"/>
      <c r="O183" s="6"/>
    </row>
    <row r="184" spans="1:15" ht="15.6" x14ac:dyDescent="0.3">
      <c r="A184" s="83"/>
      <c r="B184" s="84" t="s">
        <v>103</v>
      </c>
      <c r="C184" s="85"/>
      <c r="D184" s="85"/>
      <c r="E184" s="85"/>
      <c r="F184" s="85"/>
      <c r="G184" s="85"/>
      <c r="H184" s="70"/>
      <c r="I184" s="70"/>
      <c r="J184" s="70"/>
      <c r="K184" s="138">
        <f>K81/E59</f>
        <v>0.11654524943115548</v>
      </c>
      <c r="L184" s="27"/>
      <c r="M184" s="27"/>
      <c r="N184" s="27"/>
      <c r="O184" s="6"/>
    </row>
    <row r="185" spans="1:15" ht="15.6" x14ac:dyDescent="0.3">
      <c r="A185" s="83"/>
      <c r="B185" s="84" t="s">
        <v>104</v>
      </c>
      <c r="C185" s="85"/>
      <c r="D185" s="85"/>
      <c r="E185" s="85"/>
      <c r="F185" s="85"/>
      <c r="G185" s="85"/>
      <c r="H185" s="70"/>
      <c r="I185" s="70"/>
      <c r="J185" s="70"/>
      <c r="K185" s="86">
        <v>0.38850000000000001</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548</v>
      </c>
      <c r="K188" s="93">
        <v>15666</v>
      </c>
      <c r="L188" s="27"/>
      <c r="M188" s="87"/>
      <c r="N188" s="94"/>
      <c r="O188" s="6"/>
    </row>
    <row r="189" spans="1:15" ht="15.6" x14ac:dyDescent="0.3">
      <c r="A189" s="92"/>
      <c r="B189" s="84" t="s">
        <v>196</v>
      </c>
      <c r="C189" s="57"/>
      <c r="D189" s="57"/>
      <c r="E189" s="57"/>
      <c r="F189" s="57"/>
      <c r="G189" s="27"/>
      <c r="H189" s="27"/>
      <c r="I189" s="27"/>
      <c r="J189" s="33">
        <v>16</v>
      </c>
      <c r="K189" s="93">
        <v>498</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31951</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462</v>
      </c>
      <c r="L193" s="27"/>
      <c r="M193" s="87"/>
      <c r="N193" s="96"/>
      <c r="O193" s="6"/>
    </row>
    <row r="194" spans="1:15" ht="15.6" x14ac:dyDescent="0.3">
      <c r="A194" s="92"/>
      <c r="B194" s="84" t="s">
        <v>111</v>
      </c>
      <c r="C194" s="57"/>
      <c r="D194" s="57"/>
      <c r="E194" s="57"/>
      <c r="F194" s="57"/>
      <c r="G194" s="57"/>
      <c r="H194" s="27"/>
      <c r="I194" s="27"/>
      <c r="J194" s="27"/>
      <c r="K194" s="93">
        <f>+'Oct 2005'!K192+'Jan 2006'!K193</f>
        <v>1837</v>
      </c>
      <c r="L194" s="27"/>
      <c r="M194" s="87"/>
      <c r="N194" s="96"/>
      <c r="O194" s="6"/>
    </row>
    <row r="195" spans="1:15" ht="15.6" x14ac:dyDescent="0.3">
      <c r="A195" s="92"/>
      <c r="B195" s="84" t="s">
        <v>112</v>
      </c>
      <c r="C195" s="57"/>
      <c r="D195" s="57"/>
      <c r="E195" s="57"/>
      <c r="F195" s="57"/>
      <c r="G195" s="57"/>
      <c r="H195" s="27"/>
      <c r="I195" s="27"/>
      <c r="J195" s="27"/>
      <c r="K195" s="93">
        <f>+'Oct 2005'!K193+163</f>
        <v>344</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7</v>
      </c>
      <c r="L197" s="27"/>
      <c r="M197" s="87"/>
      <c r="N197" s="96"/>
      <c r="O197" s="6"/>
    </row>
    <row r="198" spans="1:15" ht="15.6" x14ac:dyDescent="0.3">
      <c r="A198" s="92"/>
      <c r="B198" s="84" t="s">
        <v>113</v>
      </c>
      <c r="C198" s="57"/>
      <c r="D198" s="57"/>
      <c r="E198" s="97"/>
      <c r="F198" s="97"/>
      <c r="G198" s="98"/>
      <c r="H198" s="27"/>
      <c r="I198" s="27"/>
      <c r="J198" s="27"/>
      <c r="K198" s="68">
        <v>12.68</v>
      </c>
      <c r="L198" s="27"/>
      <c r="M198" s="87"/>
      <c r="N198" s="96"/>
      <c r="O198" s="6"/>
    </row>
    <row r="199" spans="1:15" ht="15.6" x14ac:dyDescent="0.3">
      <c r="A199" s="92"/>
      <c r="B199" s="84" t="s">
        <v>114</v>
      </c>
      <c r="C199" s="57"/>
      <c r="D199" s="57"/>
      <c r="E199" s="97"/>
      <c r="F199" s="97"/>
      <c r="G199" s="98"/>
      <c r="H199" s="27"/>
      <c r="I199" s="27"/>
      <c r="J199" s="27"/>
      <c r="K199" s="68">
        <v>4.21</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9501</v>
      </c>
      <c r="J204" s="103">
        <f>I204/I213</f>
        <v>0.9454672106677281</v>
      </c>
      <c r="K204" s="56">
        <v>246842</v>
      </c>
      <c r="L204" s="136">
        <f>K204/K213</f>
        <v>0.94032181876361864</v>
      </c>
      <c r="M204" s="87"/>
      <c r="N204" s="96"/>
      <c r="O204" s="6"/>
    </row>
    <row r="205" spans="1:15" ht="15.6" x14ac:dyDescent="0.3">
      <c r="A205" s="26"/>
      <c r="B205" s="57" t="s">
        <v>117</v>
      </c>
      <c r="C205" s="102"/>
      <c r="D205" s="102"/>
      <c r="E205" s="57"/>
      <c r="F205" s="102"/>
      <c r="G205" s="27"/>
      <c r="H205" s="103"/>
      <c r="I205" s="57">
        <v>199</v>
      </c>
      <c r="J205" s="103">
        <f>I205/I213</f>
        <v>1.9802965469200916E-2</v>
      </c>
      <c r="K205" s="56">
        <v>5530</v>
      </c>
      <c r="L205" s="136">
        <f>K205/K213</f>
        <v>2.1066024654486721E-2</v>
      </c>
      <c r="M205" s="87"/>
      <c r="N205" s="96"/>
      <c r="O205" s="6"/>
    </row>
    <row r="206" spans="1:15" ht="15.6" x14ac:dyDescent="0.3">
      <c r="A206" s="26"/>
      <c r="B206" s="57" t="s">
        <v>118</v>
      </c>
      <c r="C206" s="102"/>
      <c r="D206" s="102"/>
      <c r="E206" s="57"/>
      <c r="F206" s="102"/>
      <c r="G206" s="27"/>
      <c r="H206" s="103"/>
      <c r="I206" s="57">
        <v>126</v>
      </c>
      <c r="J206" s="103">
        <f>I206/I213</f>
        <v>1.2538561050850831E-2</v>
      </c>
      <c r="K206" s="56">
        <v>3348</v>
      </c>
      <c r="L206" s="136">
        <f>K206/K213</f>
        <v>1.2753897024090695E-2</v>
      </c>
      <c r="M206" s="87"/>
      <c r="N206" s="96"/>
      <c r="O206" s="6"/>
    </row>
    <row r="207" spans="1:15" ht="15.6" x14ac:dyDescent="0.3">
      <c r="A207" s="26"/>
      <c r="B207" s="57" t="s">
        <v>167</v>
      </c>
      <c r="C207" s="102"/>
      <c r="D207" s="102"/>
      <c r="E207" s="57"/>
      <c r="F207" s="102"/>
      <c r="G207" s="27"/>
      <c r="H207" s="103"/>
      <c r="I207" s="57">
        <v>64</v>
      </c>
      <c r="J207" s="103">
        <f>I207/I213</f>
        <v>6.368792914717882E-3</v>
      </c>
      <c r="K207" s="56">
        <v>1636</v>
      </c>
      <c r="L207" s="136">
        <f>K207/K213</f>
        <v>6.2321910189403751E-3</v>
      </c>
      <c r="M207" s="87"/>
      <c r="N207" s="96"/>
      <c r="O207" s="6"/>
    </row>
    <row r="208" spans="1:15" ht="15.6" x14ac:dyDescent="0.3">
      <c r="A208" s="26"/>
      <c r="B208" s="57" t="s">
        <v>168</v>
      </c>
      <c r="C208" s="102"/>
      <c r="D208" s="102"/>
      <c r="E208" s="57"/>
      <c r="F208" s="102"/>
      <c r="G208" s="27"/>
      <c r="H208" s="103"/>
      <c r="I208" s="57">
        <v>41</v>
      </c>
      <c r="J208" s="103">
        <f>I208/I213</f>
        <v>4.0800079609911435E-3</v>
      </c>
      <c r="K208" s="56">
        <v>1217</v>
      </c>
      <c r="L208" s="136">
        <f>K208/K213</f>
        <v>4.6360491870723938E-3</v>
      </c>
      <c r="M208" s="87"/>
      <c r="N208" s="96"/>
      <c r="O208" s="6"/>
    </row>
    <row r="209" spans="1:15" ht="15.6" x14ac:dyDescent="0.3">
      <c r="A209" s="26"/>
      <c r="B209" s="57" t="s">
        <v>169</v>
      </c>
      <c r="C209" s="102"/>
      <c r="D209" s="102"/>
      <c r="E209" s="57"/>
      <c r="F209" s="102"/>
      <c r="G209" s="27"/>
      <c r="H209" s="103"/>
      <c r="I209" s="57">
        <v>24</v>
      </c>
      <c r="J209" s="103">
        <f>I209/I213</f>
        <v>2.3882973430192061E-3</v>
      </c>
      <c r="K209" s="56">
        <v>833</v>
      </c>
      <c r="L209" s="136">
        <f>K209/K213</f>
        <v>3.1732366251695184E-3</v>
      </c>
      <c r="M209" s="87"/>
      <c r="N209" s="96"/>
      <c r="O209" s="6"/>
    </row>
    <row r="210" spans="1:15" ht="15.6" x14ac:dyDescent="0.3">
      <c r="A210" s="26"/>
      <c r="B210" s="57" t="s">
        <v>176</v>
      </c>
      <c r="C210" s="102"/>
      <c r="D210" s="102"/>
      <c r="E210" s="57"/>
      <c r="F210" s="102"/>
      <c r="G210" s="27"/>
      <c r="H210" s="103"/>
      <c r="I210" s="57">
        <v>65</v>
      </c>
      <c r="J210" s="103">
        <f>I210/I213</f>
        <v>6.4683053040103496E-3</v>
      </c>
      <c r="K210" s="56">
        <v>2174</v>
      </c>
      <c r="L210" s="136">
        <f>K210/K213</f>
        <v>8.2816523686897164E-3</v>
      </c>
      <c r="M210" s="87"/>
      <c r="N210" s="96"/>
      <c r="O210" s="6"/>
    </row>
    <row r="211" spans="1:15" ht="15.6" x14ac:dyDescent="0.3">
      <c r="A211" s="26"/>
      <c r="B211" s="57" t="s">
        <v>202</v>
      </c>
      <c r="C211" s="102"/>
      <c r="D211" s="102"/>
      <c r="E211" s="57"/>
      <c r="F211" s="102"/>
      <c r="G211" s="27"/>
      <c r="H211" s="103"/>
      <c r="I211" s="57">
        <v>29</v>
      </c>
      <c r="J211" s="103">
        <f>+I211/I213</f>
        <v>2.8858592894815405E-3</v>
      </c>
      <c r="K211" s="56">
        <v>928</v>
      </c>
      <c r="L211" s="136">
        <f>+K211/K213</f>
        <v>3.5351303579319489E-3</v>
      </c>
      <c r="M211" s="87"/>
      <c r="N211" s="94"/>
      <c r="O211" s="6"/>
    </row>
    <row r="212" spans="1:15" ht="15.6" x14ac:dyDescent="0.3">
      <c r="A212" s="26"/>
      <c r="B212" s="57" t="s">
        <v>170</v>
      </c>
      <c r="C212" s="102"/>
      <c r="D212" s="102"/>
      <c r="E212" s="57"/>
      <c r="F212" s="102"/>
      <c r="G212" s="2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27"/>
      <c r="H213" s="27"/>
      <c r="I213" s="37">
        <f>SUM(I204:I212)</f>
        <v>10049</v>
      </c>
      <c r="J213" s="136">
        <f>SUM(J204:J212)</f>
        <v>1</v>
      </c>
      <c r="K213" s="56">
        <f>SUM(K204:K212)</f>
        <v>262508</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10049</v>
      </c>
      <c r="J215" s="136"/>
      <c r="K215" s="56">
        <f>+K213+K214</f>
        <v>262508</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JANUARY 2006</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300-000000000000}"/>
    <hyperlink ref="K201" r:id="rId2" xr:uid="{00000000-0004-0000-03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2D2926"/>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42059</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34504.1466</v>
      </c>
      <c r="D31" s="345"/>
      <c r="E31" s="344">
        <f>E30*E34</f>
        <v>25898.779200000001</v>
      </c>
      <c r="F31" s="344"/>
      <c r="G31" s="344">
        <f>G30*G34</f>
        <v>16649.215199999999</v>
      </c>
      <c r="H31" s="346"/>
      <c r="I31" s="346"/>
      <c r="J31" s="346"/>
      <c r="K31" s="346"/>
      <c r="L31" s="347"/>
      <c r="M31" s="344">
        <f>C31+E31+G31</f>
        <v>77052.141000000003</v>
      </c>
      <c r="N31" s="348"/>
      <c r="O31" s="6"/>
    </row>
    <row r="32" spans="1:15" ht="15.6" x14ac:dyDescent="0.3">
      <c r="A32" s="340"/>
      <c r="B32" s="319" t="s">
        <v>16</v>
      </c>
      <c r="C32" s="349">
        <f>C30*C33</f>
        <v>34504.1466</v>
      </c>
      <c r="D32" s="350"/>
      <c r="E32" s="349">
        <f>E30*E33</f>
        <v>23344.003199999999</v>
      </c>
      <c r="F32" s="349"/>
      <c r="G32" s="349">
        <f>G30*G33</f>
        <v>15006.859200000001</v>
      </c>
      <c r="H32" s="351"/>
      <c r="I32" s="351"/>
      <c r="J32" s="351"/>
      <c r="K32" s="351"/>
      <c r="L32" s="352"/>
      <c r="M32" s="344">
        <f>C32+E32+G32</f>
        <v>72855.009000000005</v>
      </c>
      <c r="N32" s="348"/>
      <c r="O32" s="6"/>
    </row>
    <row r="33" spans="1:15" ht="15.6" x14ac:dyDescent="0.3">
      <c r="A33" s="340"/>
      <c r="B33" s="278" t="s">
        <v>174</v>
      </c>
      <c r="C33" s="371">
        <v>0.14936859999999999</v>
      </c>
      <c r="D33" s="372"/>
      <c r="E33" s="371">
        <v>0.55580960000000001</v>
      </c>
      <c r="F33" s="371"/>
      <c r="G33" s="371">
        <v>0.55580960000000001</v>
      </c>
      <c r="H33" s="373"/>
      <c r="I33" s="373"/>
      <c r="J33" s="351"/>
      <c r="K33" s="351"/>
      <c r="L33" s="352"/>
      <c r="M33" s="351"/>
      <c r="N33" s="348"/>
      <c r="O33" s="6"/>
    </row>
    <row r="34" spans="1:15" ht="15.6" x14ac:dyDescent="0.3">
      <c r="A34" s="340"/>
      <c r="B34" s="278" t="s">
        <v>175</v>
      </c>
      <c r="C34" s="371">
        <v>0.14936859999999999</v>
      </c>
      <c r="D34" s="372"/>
      <c r="E34" s="371">
        <v>0.61663760000000001</v>
      </c>
      <c r="F34" s="371"/>
      <c r="G34" s="371">
        <v>0.61663760000000001</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9.5525000000000002E-3</v>
      </c>
      <c r="D36" s="258"/>
      <c r="E36" s="356">
        <v>2.0552500000000001E-2</v>
      </c>
      <c r="F36" s="304"/>
      <c r="G36" s="356">
        <v>2.5552499999999999E-2</v>
      </c>
      <c r="H36" s="304"/>
      <c r="I36" s="356"/>
      <c r="J36" s="304"/>
      <c r="K36" s="356"/>
      <c r="L36" s="321"/>
      <c r="M36" s="304">
        <f>SUMPRODUCT(C36:G36,C31:G31)/M31</f>
        <v>1.6707058033630758E-2</v>
      </c>
      <c r="N36" s="264"/>
      <c r="O36" s="6"/>
    </row>
    <row r="37" spans="1:15" ht="15.6" x14ac:dyDescent="0.3">
      <c r="A37" s="307"/>
      <c r="B37" s="258" t="s">
        <v>19</v>
      </c>
      <c r="C37" s="356">
        <v>9.5963000000000003E-3</v>
      </c>
      <c r="D37" s="258"/>
      <c r="E37" s="356">
        <v>2.0596300000000001E-2</v>
      </c>
      <c r="F37" s="304"/>
      <c r="G37" s="356">
        <v>2.5596299999999999E-2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1.111485609094879</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42051</v>
      </c>
      <c r="N47" s="264"/>
      <c r="O47" s="6"/>
    </row>
    <row r="48" spans="1:15" ht="15.6" x14ac:dyDescent="0.3">
      <c r="A48" s="307"/>
      <c r="B48" s="258" t="s">
        <v>26</v>
      </c>
      <c r="C48" s="258"/>
      <c r="D48" s="258"/>
      <c r="E48" s="258"/>
      <c r="F48" s="258"/>
      <c r="G48" s="258"/>
      <c r="H48" s="258"/>
      <c r="I48" s="258"/>
      <c r="J48" s="258">
        <f>M48-K48+1</f>
        <v>94</v>
      </c>
      <c r="K48" s="360">
        <v>41866</v>
      </c>
      <c r="L48" s="361"/>
      <c r="M48" s="360">
        <v>41959</v>
      </c>
      <c r="N48" s="264"/>
      <c r="O48" s="6"/>
    </row>
    <row r="49" spans="1:15" ht="15.6" x14ac:dyDescent="0.3">
      <c r="A49" s="307"/>
      <c r="B49" s="258" t="s">
        <v>27</v>
      </c>
      <c r="C49" s="258"/>
      <c r="D49" s="258"/>
      <c r="E49" s="258"/>
      <c r="F49" s="258"/>
      <c r="G49" s="258"/>
      <c r="H49" s="258"/>
      <c r="I49" s="258"/>
      <c r="J49" s="258">
        <f>M49-K49+1</f>
        <v>91</v>
      </c>
      <c r="K49" s="360">
        <v>41960</v>
      </c>
      <c r="L49" s="361"/>
      <c r="M49" s="360">
        <v>42050</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42037</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269</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77052</v>
      </c>
      <c r="F58" s="256"/>
      <c r="G58" s="256">
        <v>4197</v>
      </c>
      <c r="H58" s="256"/>
      <c r="I58" s="256">
        <v>0</v>
      </c>
      <c r="J58" s="256"/>
      <c r="K58" s="256">
        <v>0</v>
      </c>
      <c r="L58" s="256"/>
      <c r="M58" s="260">
        <f>E58-G58+I58-K58</f>
        <v>72855</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77052</v>
      </c>
      <c r="F62" s="256"/>
      <c r="G62" s="256">
        <f>SUM(G58:G61)</f>
        <v>4197</v>
      </c>
      <c r="H62" s="256"/>
      <c r="I62" s="256">
        <f>SUM(I58:I61)</f>
        <v>0</v>
      </c>
      <c r="J62" s="256"/>
      <c r="K62" s="256">
        <f>SUM(K58:K61)</f>
        <v>0</v>
      </c>
      <c r="L62" s="256"/>
      <c r="M62" s="256">
        <f>SUM(M58:M61)</f>
        <v>72855</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77052</v>
      </c>
      <c r="F75" s="256"/>
      <c r="G75" s="256"/>
      <c r="H75" s="256"/>
      <c r="I75" s="256"/>
      <c r="J75" s="256"/>
      <c r="K75" s="256"/>
      <c r="L75" s="256"/>
      <c r="M75" s="256">
        <f>SUM(M62:M74)</f>
        <v>72855</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42034</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4197-551</f>
        <v>3646</v>
      </c>
      <c r="L80" s="258"/>
      <c r="M80" s="260"/>
      <c r="N80" s="264"/>
      <c r="O80" s="6"/>
    </row>
    <row r="81" spans="1:16" ht="15.6" x14ac:dyDescent="0.3">
      <c r="A81" s="307"/>
      <c r="B81" s="258" t="s">
        <v>204</v>
      </c>
      <c r="C81" s="290"/>
      <c r="D81" s="325"/>
      <c r="E81" s="326"/>
      <c r="F81" s="258"/>
      <c r="G81" s="258"/>
      <c r="H81" s="258"/>
      <c r="I81" s="258"/>
      <c r="J81" s="258"/>
      <c r="K81" s="256"/>
      <c r="L81" s="258"/>
      <c r="M81" s="260">
        <f>3804+9-2070</f>
        <v>1743</v>
      </c>
      <c r="N81" s="264"/>
      <c r="O81" s="6"/>
    </row>
    <row r="82" spans="1:16" ht="15.6" x14ac:dyDescent="0.3">
      <c r="A82" s="307"/>
      <c r="B82" s="258" t="s">
        <v>205</v>
      </c>
      <c r="C82" s="290"/>
      <c r="D82" s="325"/>
      <c r="E82" s="326"/>
      <c r="F82" s="258"/>
      <c r="G82" s="258"/>
      <c r="H82" s="258"/>
      <c r="I82" s="258"/>
      <c r="J82" s="258"/>
      <c r="K82" s="256"/>
      <c r="L82" s="258"/>
      <c r="M82" s="260">
        <v>109</v>
      </c>
      <c r="N82" s="264"/>
      <c r="O82" s="6"/>
    </row>
    <row r="83" spans="1:16" ht="15.6" x14ac:dyDescent="0.3">
      <c r="A83" s="307"/>
      <c r="B83" s="258" t="s">
        <v>206</v>
      </c>
      <c r="C83" s="290"/>
      <c r="D83" s="325"/>
      <c r="E83" s="326"/>
      <c r="F83" s="258"/>
      <c r="G83" s="258"/>
      <c r="H83" s="258"/>
      <c r="I83" s="258"/>
      <c r="J83" s="258"/>
      <c r="K83" s="256"/>
      <c r="L83" s="258"/>
      <c r="M83" s="260">
        <v>21</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3646</v>
      </c>
      <c r="L85" s="258"/>
      <c r="M85" s="256">
        <f>SUM(M79:M84)</f>
        <v>1873</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3646</v>
      </c>
      <c r="L87" s="258"/>
      <c r="M87" s="256">
        <f>M85+M86</f>
        <v>1873</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-29-30-1</f>
        <v>-60</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-82</v>
      </c>
      <c r="N93" s="311"/>
      <c r="O93" s="6"/>
    </row>
    <row r="94" spans="1:16" ht="15.6" x14ac:dyDescent="0.3">
      <c r="A94" s="255">
        <v>5</v>
      </c>
      <c r="B94" s="258" t="s">
        <v>52</v>
      </c>
      <c r="C94" s="258"/>
      <c r="D94" s="258"/>
      <c r="E94" s="258"/>
      <c r="F94" s="258"/>
      <c r="G94" s="258"/>
      <c r="H94" s="258"/>
      <c r="I94" s="258"/>
      <c r="J94" s="258"/>
      <c r="K94" s="258"/>
      <c r="L94" s="258"/>
      <c r="M94" s="260">
        <v>-133</v>
      </c>
      <c r="N94" s="311"/>
      <c r="O94" s="6"/>
    </row>
    <row r="95" spans="1:16" ht="15.6" x14ac:dyDescent="0.3">
      <c r="A95" s="255">
        <v>6</v>
      </c>
      <c r="B95" s="258" t="s">
        <v>172</v>
      </c>
      <c r="C95" s="258"/>
      <c r="D95" s="258"/>
      <c r="E95" s="258"/>
      <c r="F95" s="258"/>
      <c r="G95" s="258"/>
      <c r="H95" s="258"/>
      <c r="I95" s="258"/>
      <c r="J95" s="258"/>
      <c r="K95" s="258"/>
      <c r="L95" s="258"/>
      <c r="M95" s="260">
        <v>-106</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551</v>
      </c>
      <c r="L97" s="258"/>
      <c r="M97" s="260">
        <v>-551</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-29</v>
      </c>
      <c r="N101" s="311"/>
      <c r="O101" s="6"/>
    </row>
    <row r="102" spans="1:16" ht="15.6" x14ac:dyDescent="0.3">
      <c r="A102" s="255">
        <v>13</v>
      </c>
      <c r="B102" s="258" t="s">
        <v>195</v>
      </c>
      <c r="C102" s="258"/>
      <c r="D102" s="258"/>
      <c r="E102" s="258"/>
      <c r="F102" s="258"/>
      <c r="G102" s="258"/>
      <c r="H102" s="258"/>
      <c r="I102" s="258"/>
      <c r="J102" s="258"/>
      <c r="K102" s="258"/>
      <c r="L102" s="258"/>
      <c r="M102" s="260">
        <f>-M87-SUM(M89:M101)</f>
        <v>-903</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0</v>
      </c>
      <c r="L107" s="256"/>
      <c r="M107" s="260"/>
      <c r="N107" s="311"/>
      <c r="O107" s="6"/>
    </row>
    <row r="108" spans="1:16" ht="15.6" x14ac:dyDescent="0.3">
      <c r="A108" s="307"/>
      <c r="B108" s="258" t="s">
        <v>59</v>
      </c>
      <c r="C108" s="258"/>
      <c r="D108" s="258"/>
      <c r="E108" s="258"/>
      <c r="F108" s="258"/>
      <c r="G108" s="258"/>
      <c r="H108" s="258"/>
      <c r="I108" s="258"/>
      <c r="J108" s="258"/>
      <c r="K108" s="256">
        <v>-2555</v>
      </c>
      <c r="L108" s="256"/>
      <c r="M108" s="260"/>
      <c r="N108" s="311"/>
      <c r="O108" s="6"/>
    </row>
    <row r="109" spans="1:16" ht="15.6" x14ac:dyDescent="0.3">
      <c r="A109" s="307"/>
      <c r="B109" s="258" t="s">
        <v>186</v>
      </c>
      <c r="C109" s="258"/>
      <c r="D109" s="258"/>
      <c r="E109" s="258"/>
      <c r="F109" s="258"/>
      <c r="G109" s="258"/>
      <c r="H109" s="258"/>
      <c r="I109" s="258"/>
      <c r="J109" s="258"/>
      <c r="K109" s="256">
        <v>-1642</v>
      </c>
      <c r="L109" s="256"/>
      <c r="M109" s="260"/>
      <c r="N109" s="311"/>
      <c r="O109" s="6"/>
    </row>
    <row r="110" spans="1:16" ht="15.6" x14ac:dyDescent="0.3">
      <c r="A110" s="307"/>
      <c r="B110" s="258" t="s">
        <v>60</v>
      </c>
      <c r="C110" s="258"/>
      <c r="D110" s="258"/>
      <c r="E110" s="258"/>
      <c r="F110" s="258"/>
      <c r="G110" s="258"/>
      <c r="H110" s="258"/>
      <c r="I110" s="258"/>
      <c r="J110" s="258"/>
      <c r="K110" s="256">
        <f>+K105+K106+K107+K108+K109</f>
        <v>-4197</v>
      </c>
      <c r="L110" s="256"/>
      <c r="M110" s="256">
        <f>SUM(M88:M109)</f>
        <v>-1873</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JANUARY 2015</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302</v>
      </c>
      <c r="N139" s="264"/>
      <c r="O139" s="6"/>
    </row>
    <row r="140" spans="1:15" ht="15.6" x14ac:dyDescent="0.3">
      <c r="A140" s="307"/>
      <c r="B140" s="258" t="s">
        <v>180</v>
      </c>
      <c r="C140" s="258"/>
      <c r="D140" s="258"/>
      <c r="E140" s="258"/>
      <c r="F140" s="258"/>
      <c r="G140" s="258"/>
      <c r="H140" s="258"/>
      <c r="I140" s="258"/>
      <c r="J140" s="258"/>
      <c r="K140" s="258"/>
      <c r="L140" s="258"/>
      <c r="M140" s="260">
        <f>270-21</f>
        <v>249</v>
      </c>
      <c r="N140" s="264"/>
      <c r="O140" s="6"/>
    </row>
    <row r="141" spans="1:15" ht="15.6" x14ac:dyDescent="0.3">
      <c r="A141" s="307"/>
      <c r="B141" s="258" t="s">
        <v>77</v>
      </c>
      <c r="C141" s="258"/>
      <c r="D141" s="258"/>
      <c r="E141" s="258"/>
      <c r="F141" s="258"/>
      <c r="G141" s="258"/>
      <c r="H141" s="258"/>
      <c r="I141" s="258"/>
      <c r="J141" s="258"/>
      <c r="K141" s="258"/>
      <c r="L141" s="258"/>
      <c r="M141" s="260">
        <f>M139+M138+M140</f>
        <v>551</v>
      </c>
      <c r="N141" s="264"/>
      <c r="O141" s="6"/>
    </row>
    <row r="142" spans="1:15" ht="15.6" x14ac:dyDescent="0.3">
      <c r="A142" s="307"/>
      <c r="B142" s="258" t="s">
        <v>183</v>
      </c>
      <c r="C142" s="258"/>
      <c r="D142" s="258"/>
      <c r="E142" s="258"/>
      <c r="F142" s="258"/>
      <c r="G142" s="258"/>
      <c r="H142" s="258"/>
      <c r="I142" s="303"/>
      <c r="J142" s="258"/>
      <c r="K142" s="258"/>
      <c r="L142" s="258"/>
      <c r="M142" s="260">
        <f>M97</f>
        <v>-551</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72855</v>
      </c>
      <c r="N148" s="318"/>
      <c r="O148" s="6"/>
      <c r="P148" s="117"/>
    </row>
    <row r="149" spans="1:16" ht="15.6" x14ac:dyDescent="0.3">
      <c r="A149" s="307"/>
      <c r="B149" s="258" t="s">
        <v>80</v>
      </c>
      <c r="C149" s="319"/>
      <c r="D149" s="319"/>
      <c r="E149" s="258"/>
      <c r="F149" s="258"/>
      <c r="G149" s="258"/>
      <c r="H149" s="258"/>
      <c r="I149" s="258"/>
      <c r="J149" s="258"/>
      <c r="K149" s="258"/>
      <c r="L149" s="258"/>
      <c r="M149" s="260">
        <f>M75</f>
        <v>72855</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+'Oct 14'!I156</f>
        <v>7636</v>
      </c>
      <c r="J154" s="258"/>
      <c r="K154" s="260">
        <f>+'Oct 14'!K156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22.085365853658537</v>
      </c>
      <c r="N161" s="264" t="s">
        <v>145</v>
      </c>
      <c r="O161" s="6"/>
    </row>
    <row r="162" spans="1:15" ht="15.6" x14ac:dyDescent="0.3">
      <c r="A162" s="307"/>
      <c r="B162" s="258" t="s">
        <v>89</v>
      </c>
      <c r="C162" s="258"/>
      <c r="D162" s="258"/>
      <c r="E162" s="258"/>
      <c r="F162" s="258"/>
      <c r="G162" s="258"/>
      <c r="H162" s="258"/>
      <c r="I162" s="258"/>
      <c r="J162" s="258"/>
      <c r="K162" s="258"/>
      <c r="L162" s="258"/>
      <c r="M162" s="309">
        <v>3.63</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13</v>
      </c>
      <c r="N163" s="264" t="s">
        <v>145</v>
      </c>
      <c r="O163" s="6"/>
    </row>
    <row r="164" spans="1:15" ht="15.6" x14ac:dyDescent="0.3">
      <c r="A164" s="307"/>
      <c r="B164" s="258" t="s">
        <v>91</v>
      </c>
      <c r="C164" s="258"/>
      <c r="D164" s="258"/>
      <c r="E164" s="258"/>
      <c r="F164" s="258"/>
      <c r="G164" s="258"/>
      <c r="H164" s="258"/>
      <c r="I164" s="258"/>
      <c r="J164" s="258"/>
      <c r="K164" s="258"/>
      <c r="L164" s="258"/>
      <c r="M164" s="310">
        <v>9.83</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15.056603773584905</v>
      </c>
      <c r="N165" s="264" t="s">
        <v>145</v>
      </c>
      <c r="O165" s="6"/>
    </row>
    <row r="166" spans="1:15" ht="15.6" x14ac:dyDescent="0.3">
      <c r="A166" s="307"/>
      <c r="B166" s="258" t="s">
        <v>182</v>
      </c>
      <c r="C166" s="258"/>
      <c r="D166" s="258"/>
      <c r="E166" s="258"/>
      <c r="F166" s="258"/>
      <c r="G166" s="258"/>
      <c r="H166" s="258"/>
      <c r="I166" s="258"/>
      <c r="J166" s="258"/>
      <c r="K166" s="258"/>
      <c r="L166" s="258"/>
      <c r="M166" s="310">
        <v>12.54</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JANUARY 2015</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42034</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9.5299999999999996E-2</v>
      </c>
      <c r="L176" s="258"/>
      <c r="M176" s="258"/>
      <c r="N176" s="264"/>
      <c r="O176" s="6"/>
    </row>
    <row r="177" spans="1:15" ht="15.6" x14ac:dyDescent="0.3">
      <c r="A177" s="301"/>
      <c r="B177" s="258" t="s">
        <v>97</v>
      </c>
      <c r="C177" s="302"/>
      <c r="D177" s="302"/>
      <c r="E177" s="302"/>
      <c r="F177" s="302"/>
      <c r="G177" s="302"/>
      <c r="H177" s="303"/>
      <c r="I177" s="303"/>
      <c r="J177" s="303"/>
      <c r="K177" s="304">
        <f>M36</f>
        <v>1.6707058033630758E-2</v>
      </c>
      <c r="L177" s="258"/>
      <c r="M177" s="258"/>
      <c r="N177" s="264"/>
      <c r="O177" s="6"/>
    </row>
    <row r="178" spans="1:15" ht="15.6" x14ac:dyDescent="0.3">
      <c r="A178" s="301"/>
      <c r="B178" s="258" t="s">
        <v>98</v>
      </c>
      <c r="C178" s="302"/>
      <c r="D178" s="302"/>
      <c r="E178" s="302"/>
      <c r="F178" s="302"/>
      <c r="G178" s="302"/>
      <c r="H178" s="303"/>
      <c r="I178" s="303"/>
      <c r="J178" s="303"/>
      <c r="K178" s="304">
        <f>K176-K177</f>
        <v>7.8592941966369234E-2</v>
      </c>
      <c r="L178" s="258"/>
      <c r="M178" s="258"/>
      <c r="N178" s="264"/>
      <c r="O178" s="6"/>
    </row>
    <row r="179" spans="1:15" ht="15.6" x14ac:dyDescent="0.3">
      <c r="A179" s="301"/>
      <c r="B179" s="258" t="s">
        <v>211</v>
      </c>
      <c r="C179" s="302"/>
      <c r="D179" s="302"/>
      <c r="E179" s="302"/>
      <c r="F179" s="302"/>
      <c r="G179" s="302"/>
      <c r="H179" s="303"/>
      <c r="I179" s="303"/>
      <c r="J179" s="303"/>
      <c r="K179" s="304">
        <f>(+M87+M89)/E58</f>
        <v>2.4308259357317136E-2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11.52</v>
      </c>
      <c r="L184" s="258" t="s">
        <v>139</v>
      </c>
      <c r="M184" s="258"/>
      <c r="N184" s="264"/>
      <c r="O184" s="6"/>
    </row>
    <row r="185" spans="1:15" ht="15.6" x14ac:dyDescent="0.3">
      <c r="A185" s="301"/>
      <c r="B185" s="258" t="s">
        <v>103</v>
      </c>
      <c r="C185" s="302"/>
      <c r="D185" s="302"/>
      <c r="E185" s="302"/>
      <c r="F185" s="302"/>
      <c r="G185" s="302"/>
      <c r="H185" s="303"/>
      <c r="I185" s="303"/>
      <c r="J185" s="303"/>
      <c r="K185" s="304">
        <f>K80/E58</f>
        <v>4.7318693869075432E-2</v>
      </c>
      <c r="L185" s="258"/>
      <c r="M185" s="258"/>
      <c r="N185" s="264"/>
      <c r="O185" s="6"/>
    </row>
    <row r="186" spans="1:15" ht="15.6" x14ac:dyDescent="0.3">
      <c r="A186" s="301"/>
      <c r="B186" s="258" t="s">
        <v>104</v>
      </c>
      <c r="C186" s="302"/>
      <c r="D186" s="302"/>
      <c r="E186" s="302"/>
      <c r="F186" s="302"/>
      <c r="G186" s="302"/>
      <c r="H186" s="303"/>
      <c r="I186" s="303"/>
      <c r="J186" s="303"/>
      <c r="K186" s="304">
        <v>0.23180000000000001</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463</v>
      </c>
      <c r="K189" s="369">
        <v>9856</v>
      </c>
      <c r="L189" s="217"/>
      <c r="M189" s="229"/>
      <c r="N189" s="230"/>
      <c r="O189" s="6"/>
    </row>
    <row r="190" spans="1:15" ht="15.6" x14ac:dyDescent="0.3">
      <c r="A190" s="275"/>
      <c r="B190" s="258" t="s">
        <v>196</v>
      </c>
      <c r="C190" s="256"/>
      <c r="D190" s="256"/>
      <c r="E190" s="256"/>
      <c r="F190" s="256"/>
      <c r="G190" s="258"/>
      <c r="H190" s="258"/>
      <c r="I190" s="258"/>
      <c r="J190" s="276">
        <v>1</v>
      </c>
      <c r="K190" s="277">
        <v>11</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551</v>
      </c>
      <c r="L194" s="258"/>
      <c r="M194" s="281"/>
      <c r="N194" s="286"/>
      <c r="O194" s="6"/>
    </row>
    <row r="195" spans="1:15" ht="15.6" x14ac:dyDescent="0.3">
      <c r="A195" s="275"/>
      <c r="B195" s="258" t="s">
        <v>111</v>
      </c>
      <c r="C195" s="256"/>
      <c r="D195" s="256"/>
      <c r="E195" s="256"/>
      <c r="F195" s="256"/>
      <c r="G195" s="256"/>
      <c r="H195" s="258"/>
      <c r="I195" s="258"/>
      <c r="J195" s="258"/>
      <c r="K195" s="375">
        <f>'Oct 14'!K195+'Jan 15'!K194</f>
        <v>37190</v>
      </c>
      <c r="L195" s="258"/>
      <c r="M195" s="281"/>
      <c r="N195" s="286"/>
      <c r="O195" s="6"/>
    </row>
    <row r="196" spans="1:15" ht="15.6" x14ac:dyDescent="0.3">
      <c r="A196" s="275"/>
      <c r="B196" s="258" t="s">
        <v>112</v>
      </c>
      <c r="C196" s="256"/>
      <c r="D196" s="256"/>
      <c r="E196" s="256"/>
      <c r="F196" s="256"/>
      <c r="G196" s="256"/>
      <c r="H196" s="258"/>
      <c r="I196" s="258"/>
      <c r="J196" s="258"/>
      <c r="K196" s="375">
        <f>'Oct 14'!K196+432</f>
        <v>12818</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277">
        <v>0</v>
      </c>
      <c r="L198" s="258"/>
      <c r="M198" s="261"/>
      <c r="N198" s="286"/>
      <c r="O198" s="6"/>
    </row>
    <row r="199" spans="1:15" ht="15.6" x14ac:dyDescent="0.3">
      <c r="A199" s="275"/>
      <c r="B199" s="258" t="s">
        <v>113</v>
      </c>
      <c r="C199" s="256"/>
      <c r="D199" s="256"/>
      <c r="E199" s="290"/>
      <c r="F199" s="290"/>
      <c r="G199" s="291"/>
      <c r="H199" s="258"/>
      <c r="I199" s="258"/>
      <c r="J199" s="258"/>
      <c r="K199" s="292">
        <v>0</v>
      </c>
      <c r="L199" s="258"/>
      <c r="M199" s="261"/>
      <c r="N199" s="286"/>
      <c r="O199" s="6"/>
    </row>
    <row r="200" spans="1:15" ht="15.6" x14ac:dyDescent="0.3">
      <c r="A200" s="275"/>
      <c r="B200" s="258" t="s">
        <v>114</v>
      </c>
      <c r="C200" s="256"/>
      <c r="D200" s="256"/>
      <c r="E200" s="290"/>
      <c r="F200" s="290"/>
      <c r="G200" s="291"/>
      <c r="H200" s="258"/>
      <c r="I200" s="258"/>
      <c r="J200" s="258"/>
      <c r="K200" s="292">
        <v>0</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3132</v>
      </c>
      <c r="J205" s="232">
        <f>I205/I213</f>
        <v>0.87121001390820585</v>
      </c>
      <c r="K205" s="221">
        <v>62999</v>
      </c>
      <c r="L205" s="232">
        <f>K205/K213</f>
        <v>0.86471758973303137</v>
      </c>
      <c r="M205" s="228"/>
      <c r="N205" s="218"/>
      <c r="O205" s="6"/>
    </row>
    <row r="206" spans="1:15" ht="15.6" x14ac:dyDescent="0.3">
      <c r="A206" s="255"/>
      <c r="B206" s="256" t="s">
        <v>117</v>
      </c>
      <c r="C206" s="257"/>
      <c r="D206" s="257"/>
      <c r="E206" s="256"/>
      <c r="F206" s="257"/>
      <c r="G206" s="258"/>
      <c r="H206" s="259"/>
      <c r="I206" s="256">
        <v>89</v>
      </c>
      <c r="J206" s="259">
        <f>I206/I213</f>
        <v>2.4756606397774689E-2</v>
      </c>
      <c r="K206" s="260">
        <v>1854</v>
      </c>
      <c r="L206" s="259">
        <f>K206/K213</f>
        <v>2.5447807288449659E-2</v>
      </c>
      <c r="M206" s="261"/>
      <c r="N206" s="263"/>
      <c r="O206" s="6"/>
    </row>
    <row r="207" spans="1:15" ht="15.6" x14ac:dyDescent="0.3">
      <c r="A207" s="255"/>
      <c r="B207" s="256" t="s">
        <v>118</v>
      </c>
      <c r="C207" s="257"/>
      <c r="D207" s="257"/>
      <c r="E207" s="256"/>
      <c r="F207" s="257"/>
      <c r="G207" s="256"/>
      <c r="H207" s="259"/>
      <c r="I207" s="256">
        <v>63</v>
      </c>
      <c r="J207" s="259">
        <f>I207/I213</f>
        <v>1.7524339360222532E-2</v>
      </c>
      <c r="K207" s="260">
        <v>1319</v>
      </c>
      <c r="L207" s="259">
        <f>K207/K213</f>
        <v>1.8104454052570173E-2</v>
      </c>
      <c r="M207" s="374"/>
      <c r="N207" s="263"/>
      <c r="O207" s="6"/>
    </row>
    <row r="208" spans="1:15" ht="15.6" x14ac:dyDescent="0.3">
      <c r="A208" s="255"/>
      <c r="B208" s="256" t="s">
        <v>167</v>
      </c>
      <c r="C208" s="257"/>
      <c r="D208" s="257"/>
      <c r="E208" s="256"/>
      <c r="F208" s="257"/>
      <c r="G208" s="256"/>
      <c r="H208" s="259"/>
      <c r="I208" s="256">
        <v>56</v>
      </c>
      <c r="J208" s="259">
        <f>I208/I213</f>
        <v>1.5577190542420028E-2</v>
      </c>
      <c r="K208" s="260">
        <v>1052</v>
      </c>
      <c r="L208" s="259">
        <f>K208/K213</f>
        <v>1.4439640381579851E-2</v>
      </c>
      <c r="M208" s="374"/>
      <c r="N208" s="263"/>
      <c r="O208" s="6"/>
    </row>
    <row r="209" spans="1:15" ht="15.6" x14ac:dyDescent="0.3">
      <c r="A209" s="255"/>
      <c r="B209" s="256" t="s">
        <v>168</v>
      </c>
      <c r="C209" s="257"/>
      <c r="D209" s="257"/>
      <c r="E209" s="256"/>
      <c r="F209" s="257"/>
      <c r="G209" s="258"/>
      <c r="H209" s="259"/>
      <c r="I209" s="256">
        <v>49</v>
      </c>
      <c r="J209" s="259">
        <f>I209/I213</f>
        <v>1.3630041724617525E-2</v>
      </c>
      <c r="K209" s="260">
        <v>1143</v>
      </c>
      <c r="L209" s="259">
        <f>K209/K213</f>
        <v>1.5688696726374306E-2</v>
      </c>
      <c r="M209" s="374"/>
      <c r="N209" s="262"/>
      <c r="O209" s="6"/>
    </row>
    <row r="210" spans="1:15" ht="15.6" x14ac:dyDescent="0.3">
      <c r="A210" s="255"/>
      <c r="B210" s="256" t="s">
        <v>169</v>
      </c>
      <c r="C210" s="257"/>
      <c r="D210" s="257"/>
      <c r="E210" s="256"/>
      <c r="F210" s="257"/>
      <c r="G210" s="258"/>
      <c r="H210" s="259"/>
      <c r="I210" s="256">
        <v>37</v>
      </c>
      <c r="J210" s="259">
        <f>I210/I213</f>
        <v>1.0292072322670376E-2</v>
      </c>
      <c r="K210" s="260">
        <v>774</v>
      </c>
      <c r="L210" s="259">
        <f>K210/K213</f>
        <v>1.0623841877702286E-2</v>
      </c>
      <c r="M210" s="374"/>
      <c r="N210" s="262"/>
      <c r="O210" s="6"/>
    </row>
    <row r="211" spans="1:15" ht="15.6" x14ac:dyDescent="0.3">
      <c r="A211" s="255"/>
      <c r="B211" s="256" t="s">
        <v>176</v>
      </c>
      <c r="C211" s="257"/>
      <c r="D211" s="257"/>
      <c r="E211" s="256"/>
      <c r="F211" s="257"/>
      <c r="G211" s="258"/>
      <c r="H211" s="259"/>
      <c r="I211" s="256">
        <v>102</v>
      </c>
      <c r="J211" s="259">
        <f>I211/I213</f>
        <v>2.8372739916550763E-2</v>
      </c>
      <c r="K211" s="260">
        <v>2011</v>
      </c>
      <c r="L211" s="259">
        <f>K211/K213</f>
        <v>2.7602772630567565E-2</v>
      </c>
      <c r="M211" s="261"/>
      <c r="N211" s="263"/>
      <c r="O211" s="6"/>
    </row>
    <row r="212" spans="1:15" ht="15.6" x14ac:dyDescent="0.3">
      <c r="A212" s="255"/>
      <c r="B212" s="256" t="s">
        <v>202</v>
      </c>
      <c r="C212" s="257"/>
      <c r="D212" s="257"/>
      <c r="E212" s="256"/>
      <c r="F212" s="257"/>
      <c r="G212" s="258"/>
      <c r="H212" s="259"/>
      <c r="I212" s="256">
        <v>67</v>
      </c>
      <c r="J212" s="259">
        <f>+I212/I213</f>
        <v>1.8636995827538246E-2</v>
      </c>
      <c r="K212" s="260">
        <v>1703</v>
      </c>
      <c r="L212" s="259">
        <f>+K212/K213</f>
        <v>2.3375197309724795E-2</v>
      </c>
      <c r="M212" s="261"/>
      <c r="N212" s="263"/>
      <c r="O212" s="6"/>
    </row>
    <row r="213" spans="1:15" ht="15.6" x14ac:dyDescent="0.3">
      <c r="A213" s="255"/>
      <c r="B213" s="258" t="s">
        <v>189</v>
      </c>
      <c r="C213" s="258"/>
      <c r="D213" s="258"/>
      <c r="E213" s="258"/>
      <c r="F213" s="258"/>
      <c r="G213" s="256"/>
      <c r="H213" s="258"/>
      <c r="I213" s="256">
        <f>SUM(I205:I212)</f>
        <v>3595</v>
      </c>
      <c r="J213" s="259">
        <f>SUM(J205:J212)</f>
        <v>1</v>
      </c>
      <c r="K213" s="260">
        <f>SUM(K205:K212)</f>
        <v>72855</v>
      </c>
      <c r="L213" s="259">
        <f>SUM(L205:L212)</f>
        <v>1</v>
      </c>
      <c r="M213" s="258"/>
      <c r="N213" s="264"/>
      <c r="O213" s="6"/>
    </row>
    <row r="214" spans="1:15" ht="15.6" x14ac:dyDescent="0.3">
      <c r="A214" s="255"/>
      <c r="B214" s="256" t="s">
        <v>170</v>
      </c>
      <c r="C214" s="257"/>
      <c r="D214" s="257"/>
      <c r="E214" s="256"/>
      <c r="F214" s="257"/>
      <c r="G214" s="256"/>
      <c r="H214" s="259"/>
      <c r="I214" s="256">
        <v>318</v>
      </c>
      <c r="J214" s="259"/>
      <c r="K214" s="260">
        <v>8927</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1.0855999999999999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JANUARY 2015</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700-000000000000}"/>
    <hyperlink ref="K202" r:id="rId2" xr:uid="{00000000-0004-0000-27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89CB31"/>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42146</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239</v>
      </c>
      <c r="F27" s="341"/>
      <c r="G27" s="341" t="s">
        <v>255</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34504.1466</v>
      </c>
      <c r="D31" s="345"/>
      <c r="E31" s="344">
        <f>E30*E34</f>
        <v>23344.003199999999</v>
      </c>
      <c r="F31" s="344"/>
      <c r="G31" s="344">
        <f>G30*G34</f>
        <v>15006.859200000001</v>
      </c>
      <c r="H31" s="346"/>
      <c r="I31" s="346"/>
      <c r="J31" s="346"/>
      <c r="K31" s="346"/>
      <c r="L31" s="347"/>
      <c r="M31" s="344">
        <f>C31+E31+G31</f>
        <v>72855.009000000005</v>
      </c>
      <c r="N31" s="348"/>
      <c r="O31" s="6"/>
    </row>
    <row r="32" spans="1:15" ht="15.6" x14ac:dyDescent="0.3">
      <c r="A32" s="340"/>
      <c r="B32" s="319" t="s">
        <v>16</v>
      </c>
      <c r="C32" s="349">
        <f>C30*C33</f>
        <v>34504.1466</v>
      </c>
      <c r="D32" s="350"/>
      <c r="E32" s="349">
        <f>E30*E33</f>
        <v>21360.024000000001</v>
      </c>
      <c r="F32" s="349"/>
      <c r="G32" s="349">
        <f>G30*G33</f>
        <v>13731.444000000001</v>
      </c>
      <c r="H32" s="351"/>
      <c r="I32" s="351"/>
      <c r="J32" s="351"/>
      <c r="K32" s="351"/>
      <c r="L32" s="352"/>
      <c r="M32" s="344">
        <f>C32+E32+G32</f>
        <v>69595.614600000001</v>
      </c>
      <c r="N32" s="348"/>
      <c r="O32" s="6"/>
    </row>
    <row r="33" spans="1:15" ht="15.6" x14ac:dyDescent="0.3">
      <c r="A33" s="340"/>
      <c r="B33" s="278" t="s">
        <v>174</v>
      </c>
      <c r="C33" s="371">
        <v>0.14936859999999999</v>
      </c>
      <c r="D33" s="372"/>
      <c r="E33" s="371">
        <v>0.50857200000000002</v>
      </c>
      <c r="F33" s="371"/>
      <c r="G33" s="371">
        <v>0.50857200000000002</v>
      </c>
      <c r="H33" s="373"/>
      <c r="I33" s="373"/>
      <c r="J33" s="351"/>
      <c r="K33" s="351"/>
      <c r="L33" s="352"/>
      <c r="M33" s="351"/>
      <c r="N33" s="348"/>
      <c r="O33" s="6"/>
    </row>
    <row r="34" spans="1:15" ht="15.6" x14ac:dyDescent="0.3">
      <c r="A34" s="340"/>
      <c r="B34" s="278" t="s">
        <v>175</v>
      </c>
      <c r="C34" s="371">
        <v>0.14936859999999999</v>
      </c>
      <c r="D34" s="372"/>
      <c r="E34" s="371">
        <v>0.55580960000000001</v>
      </c>
      <c r="F34" s="371"/>
      <c r="G34" s="371">
        <v>0.55580960000000001</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9.6275000000000006E-3</v>
      </c>
      <c r="D36" s="258"/>
      <c r="E36" s="356">
        <v>2.06275E-2</v>
      </c>
      <c r="F36" s="304"/>
      <c r="G36" s="356">
        <v>2.5627500000000001E-2</v>
      </c>
      <c r="H36" s="304"/>
      <c r="I36" s="356"/>
      <c r="J36" s="304"/>
      <c r="K36" s="356"/>
      <c r="L36" s="321"/>
      <c r="M36" s="304">
        <f>SUMPRODUCT(C36:G36,C31:G31)/M31</f>
        <v>1.6447810493682047E-2</v>
      </c>
      <c r="N36" s="264"/>
      <c r="O36" s="6"/>
    </row>
    <row r="37" spans="1:15" ht="15.6" x14ac:dyDescent="0.3">
      <c r="A37" s="307"/>
      <c r="B37" s="258" t="s">
        <v>19</v>
      </c>
      <c r="C37" s="356">
        <v>9.5525000000000002E-3</v>
      </c>
      <c r="D37" s="258"/>
      <c r="E37" s="356">
        <v>2.0552500000000001E-2</v>
      </c>
      <c r="F37" s="304"/>
      <c r="G37" s="356">
        <v>2.5552499999999999E-2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1.0170217628277756</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42139</v>
      </c>
      <c r="N47" s="264"/>
      <c r="O47" s="6"/>
    </row>
    <row r="48" spans="1:15" ht="15.6" x14ac:dyDescent="0.3">
      <c r="A48" s="307"/>
      <c r="B48" s="258" t="s">
        <v>26</v>
      </c>
      <c r="C48" s="258"/>
      <c r="D48" s="258"/>
      <c r="E48" s="258"/>
      <c r="F48" s="258"/>
      <c r="G48" s="258"/>
      <c r="H48" s="258"/>
      <c r="I48" s="258"/>
      <c r="J48" s="258">
        <f>M48-K48+1</f>
        <v>91</v>
      </c>
      <c r="K48" s="360">
        <v>41960</v>
      </c>
      <c r="L48" s="361"/>
      <c r="M48" s="360">
        <v>42050</v>
      </c>
      <c r="N48" s="264"/>
      <c r="O48" s="6"/>
    </row>
    <row r="49" spans="1:15" ht="15.6" x14ac:dyDescent="0.3">
      <c r="A49" s="307"/>
      <c r="B49" s="258" t="s">
        <v>27</v>
      </c>
      <c r="C49" s="258"/>
      <c r="D49" s="258"/>
      <c r="E49" s="258"/>
      <c r="F49" s="258"/>
      <c r="G49" s="258"/>
      <c r="H49" s="258"/>
      <c r="I49" s="258"/>
      <c r="J49" s="258">
        <f>M49-K49+1</f>
        <v>88</v>
      </c>
      <c r="K49" s="360">
        <v>42051</v>
      </c>
      <c r="L49" s="361"/>
      <c r="M49" s="360">
        <v>42138</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42125</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270</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72855</v>
      </c>
      <c r="F58" s="256"/>
      <c r="G58" s="256">
        <v>3259</v>
      </c>
      <c r="H58" s="256"/>
      <c r="I58" s="256">
        <v>0</v>
      </c>
      <c r="J58" s="256"/>
      <c r="K58" s="256">
        <v>0</v>
      </c>
      <c r="L58" s="256"/>
      <c r="M58" s="260">
        <f>E58-G58+I58-K58</f>
        <v>69596</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72855</v>
      </c>
      <c r="F62" s="256"/>
      <c r="G62" s="256">
        <f>SUM(G58:G61)</f>
        <v>3259</v>
      </c>
      <c r="H62" s="256"/>
      <c r="I62" s="256">
        <f>SUM(I58:I61)</f>
        <v>0</v>
      </c>
      <c r="J62" s="256"/>
      <c r="K62" s="256">
        <f>SUM(K58:K61)</f>
        <v>0</v>
      </c>
      <c r="L62" s="256"/>
      <c r="M62" s="256">
        <f>SUM(M58:M61)</f>
        <v>69596</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72855</v>
      </c>
      <c r="F75" s="256"/>
      <c r="G75" s="256"/>
      <c r="H75" s="256"/>
      <c r="I75" s="256"/>
      <c r="J75" s="256"/>
      <c r="K75" s="256"/>
      <c r="L75" s="256"/>
      <c r="M75" s="256">
        <f>SUM(M62:M74)</f>
        <v>69596</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42124</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3259-119</f>
        <v>3140</v>
      </c>
      <c r="L80" s="258"/>
      <c r="M80" s="260"/>
      <c r="N80" s="264"/>
      <c r="O80" s="6"/>
    </row>
    <row r="81" spans="1:16" ht="15.6" x14ac:dyDescent="0.3">
      <c r="A81" s="307"/>
      <c r="B81" s="258" t="s">
        <v>204</v>
      </c>
      <c r="C81" s="290"/>
      <c r="D81" s="325"/>
      <c r="E81" s="326"/>
      <c r="F81" s="258"/>
      <c r="G81" s="258"/>
      <c r="H81" s="258"/>
      <c r="I81" s="258"/>
      <c r="J81" s="258"/>
      <c r="K81" s="256"/>
      <c r="L81" s="258"/>
      <c r="M81" s="260">
        <f>3593+9-1914</f>
        <v>1688</v>
      </c>
      <c r="N81" s="264"/>
      <c r="O81" s="6"/>
    </row>
    <row r="82" spans="1:16" ht="15.6" x14ac:dyDescent="0.3">
      <c r="A82" s="307"/>
      <c r="B82" s="258" t="s">
        <v>205</v>
      </c>
      <c r="C82" s="290"/>
      <c r="D82" s="325"/>
      <c r="E82" s="326"/>
      <c r="F82" s="258"/>
      <c r="G82" s="258"/>
      <c r="H82" s="258"/>
      <c r="I82" s="258"/>
      <c r="J82" s="258"/>
      <c r="K82" s="256"/>
      <c r="L82" s="258"/>
      <c r="M82" s="260">
        <v>304</v>
      </c>
      <c r="N82" s="264"/>
      <c r="O82" s="6"/>
    </row>
    <row r="83" spans="1:16" ht="15.6" x14ac:dyDescent="0.3">
      <c r="A83" s="307"/>
      <c r="B83" s="258" t="s">
        <v>206</v>
      </c>
      <c r="C83" s="290"/>
      <c r="D83" s="325"/>
      <c r="E83" s="326"/>
      <c r="F83" s="258"/>
      <c r="G83" s="258"/>
      <c r="H83" s="258"/>
      <c r="I83" s="258"/>
      <c r="J83" s="258"/>
      <c r="K83" s="256"/>
      <c r="L83" s="258"/>
      <c r="M83" s="260">
        <v>25</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3140</v>
      </c>
      <c r="L85" s="258"/>
      <c r="M85" s="256">
        <f>SUM(M79:M84)</f>
        <v>2017</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3140</v>
      </c>
      <c r="L87" s="258"/>
      <c r="M87" s="256">
        <f>M85+M86</f>
        <v>2017</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-27-33-1</f>
        <v>-61</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-80</v>
      </c>
      <c r="N93" s="311"/>
      <c r="O93" s="6"/>
    </row>
    <row r="94" spans="1:16" ht="15.6" x14ac:dyDescent="0.3">
      <c r="A94" s="255">
        <v>5</v>
      </c>
      <c r="B94" s="258" t="s">
        <v>52</v>
      </c>
      <c r="C94" s="258"/>
      <c r="D94" s="258"/>
      <c r="E94" s="258"/>
      <c r="F94" s="258"/>
      <c r="G94" s="258"/>
      <c r="H94" s="258"/>
      <c r="I94" s="258"/>
      <c r="J94" s="258"/>
      <c r="K94" s="258"/>
      <c r="L94" s="258"/>
      <c r="M94" s="260">
        <v>-116</v>
      </c>
      <c r="N94" s="311"/>
      <c r="O94" s="6"/>
    </row>
    <row r="95" spans="1:16" ht="15.6" x14ac:dyDescent="0.3">
      <c r="A95" s="255">
        <v>6</v>
      </c>
      <c r="B95" s="258" t="s">
        <v>172</v>
      </c>
      <c r="C95" s="258"/>
      <c r="D95" s="258"/>
      <c r="E95" s="258"/>
      <c r="F95" s="258"/>
      <c r="G95" s="258"/>
      <c r="H95" s="258"/>
      <c r="I95" s="258"/>
      <c r="J95" s="258"/>
      <c r="K95" s="258"/>
      <c r="L95" s="258"/>
      <c r="M95" s="260">
        <v>-93</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119</v>
      </c>
      <c r="L97" s="258"/>
      <c r="M97" s="260">
        <v>-119</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-26</v>
      </c>
      <c r="N101" s="311"/>
      <c r="O101" s="6"/>
    </row>
    <row r="102" spans="1:16" ht="15.6" x14ac:dyDescent="0.3">
      <c r="A102" s="255">
        <v>13</v>
      </c>
      <c r="B102" s="258" t="s">
        <v>195</v>
      </c>
      <c r="C102" s="258"/>
      <c r="D102" s="258"/>
      <c r="E102" s="258"/>
      <c r="F102" s="258"/>
      <c r="G102" s="258"/>
      <c r="H102" s="258"/>
      <c r="I102" s="258"/>
      <c r="J102" s="258"/>
      <c r="K102" s="258"/>
      <c r="L102" s="258"/>
      <c r="M102" s="260">
        <f>-M87-SUM(M89:M101)</f>
        <v>-1513</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0</v>
      </c>
      <c r="L107" s="256"/>
      <c r="M107" s="260"/>
      <c r="N107" s="311"/>
      <c r="O107" s="6"/>
    </row>
    <row r="108" spans="1:16" ht="15.6" x14ac:dyDescent="0.3">
      <c r="A108" s="307"/>
      <c r="B108" s="258" t="s">
        <v>59</v>
      </c>
      <c r="C108" s="258"/>
      <c r="D108" s="258"/>
      <c r="E108" s="258"/>
      <c r="F108" s="258"/>
      <c r="G108" s="258"/>
      <c r="H108" s="258"/>
      <c r="I108" s="258"/>
      <c r="J108" s="258"/>
      <c r="K108" s="256">
        <v>-1984</v>
      </c>
      <c r="L108" s="256"/>
      <c r="M108" s="260"/>
      <c r="N108" s="311"/>
      <c r="O108" s="6"/>
    </row>
    <row r="109" spans="1:16" ht="15.6" x14ac:dyDescent="0.3">
      <c r="A109" s="307"/>
      <c r="B109" s="258" t="s">
        <v>186</v>
      </c>
      <c r="C109" s="258"/>
      <c r="D109" s="258"/>
      <c r="E109" s="258"/>
      <c r="F109" s="258"/>
      <c r="G109" s="258"/>
      <c r="H109" s="258"/>
      <c r="I109" s="258"/>
      <c r="J109" s="258"/>
      <c r="K109" s="256">
        <v>-1275</v>
      </c>
      <c r="L109" s="256"/>
      <c r="M109" s="260"/>
      <c r="N109" s="311"/>
      <c r="O109" s="6"/>
    </row>
    <row r="110" spans="1:16" ht="15.6" x14ac:dyDescent="0.3">
      <c r="A110" s="307"/>
      <c r="B110" s="258" t="s">
        <v>60</v>
      </c>
      <c r="C110" s="258"/>
      <c r="D110" s="258"/>
      <c r="E110" s="258"/>
      <c r="F110" s="258"/>
      <c r="G110" s="258"/>
      <c r="H110" s="258"/>
      <c r="I110" s="258"/>
      <c r="J110" s="258"/>
      <c r="K110" s="256">
        <f>+K105+K106+K107+K108+K109</f>
        <v>-3259</v>
      </c>
      <c r="L110" s="256"/>
      <c r="M110" s="256">
        <f>SUM(M88:M109)</f>
        <v>-2017</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APRIL 2015</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-244</v>
      </c>
      <c r="N139" s="264"/>
      <c r="O139" s="6"/>
    </row>
    <row r="140" spans="1:15" ht="15.6" x14ac:dyDescent="0.3">
      <c r="A140" s="307"/>
      <c r="B140" s="258" t="s">
        <v>180</v>
      </c>
      <c r="C140" s="258"/>
      <c r="D140" s="258"/>
      <c r="E140" s="258"/>
      <c r="F140" s="258"/>
      <c r="G140" s="258"/>
      <c r="H140" s="258"/>
      <c r="I140" s="258"/>
      <c r="J140" s="258"/>
      <c r="K140" s="258"/>
      <c r="L140" s="258"/>
      <c r="M140" s="260">
        <f>331+32</f>
        <v>363</v>
      </c>
      <c r="N140" s="264"/>
      <c r="O140" s="6"/>
    </row>
    <row r="141" spans="1:15" ht="15.6" x14ac:dyDescent="0.3">
      <c r="A141" s="307"/>
      <c r="B141" s="258" t="s">
        <v>77</v>
      </c>
      <c r="C141" s="258"/>
      <c r="D141" s="258"/>
      <c r="E141" s="258"/>
      <c r="F141" s="258"/>
      <c r="G141" s="258"/>
      <c r="H141" s="258"/>
      <c r="I141" s="258"/>
      <c r="J141" s="258"/>
      <c r="K141" s="258"/>
      <c r="L141" s="258"/>
      <c r="M141" s="260">
        <f>M139+M138+M140</f>
        <v>119</v>
      </c>
      <c r="N141" s="264"/>
      <c r="O141" s="6"/>
    </row>
    <row r="142" spans="1:15" ht="15.6" x14ac:dyDescent="0.3">
      <c r="A142" s="307"/>
      <c r="B142" s="258" t="s">
        <v>183</v>
      </c>
      <c r="C142" s="258"/>
      <c r="D142" s="258"/>
      <c r="E142" s="258"/>
      <c r="F142" s="258"/>
      <c r="G142" s="258"/>
      <c r="H142" s="258"/>
      <c r="I142" s="303"/>
      <c r="J142" s="258"/>
      <c r="K142" s="258"/>
      <c r="L142" s="258"/>
      <c r="M142" s="260">
        <f>M97</f>
        <v>-119</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69596</v>
      </c>
      <c r="N148" s="318"/>
      <c r="O148" s="6"/>
      <c r="P148" s="117"/>
    </row>
    <row r="149" spans="1:16" ht="15.6" x14ac:dyDescent="0.3">
      <c r="A149" s="307"/>
      <c r="B149" s="258" t="s">
        <v>80</v>
      </c>
      <c r="C149" s="319"/>
      <c r="D149" s="319"/>
      <c r="E149" s="258"/>
      <c r="F149" s="258"/>
      <c r="G149" s="258"/>
      <c r="H149" s="258"/>
      <c r="I149" s="258"/>
      <c r="J149" s="258"/>
      <c r="K149" s="258"/>
      <c r="L149" s="258"/>
      <c r="M149" s="260">
        <f>M75</f>
        <v>69596</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+'Jan 15'!I156</f>
        <v>7636</v>
      </c>
      <c r="J154" s="258"/>
      <c r="K154" s="260">
        <f>+'Oct 14'!K156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24.425000000000001</v>
      </c>
      <c r="N161" s="264" t="s">
        <v>145</v>
      </c>
      <c r="O161" s="6"/>
    </row>
    <row r="162" spans="1:15" ht="15.6" x14ac:dyDescent="0.3">
      <c r="A162" s="307"/>
      <c r="B162" s="258" t="s">
        <v>89</v>
      </c>
      <c r="C162" s="258"/>
      <c r="D162" s="258"/>
      <c r="E162" s="258"/>
      <c r="F162" s="258"/>
      <c r="G162" s="258"/>
      <c r="H162" s="258"/>
      <c r="I162" s="258"/>
      <c r="J162" s="258"/>
      <c r="K162" s="258"/>
      <c r="L162" s="258"/>
      <c r="M162" s="309">
        <v>3.66</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16.155172413793103</v>
      </c>
      <c r="N163" s="264" t="s">
        <v>145</v>
      </c>
      <c r="O163" s="6"/>
    </row>
    <row r="164" spans="1:15" ht="15.6" x14ac:dyDescent="0.3">
      <c r="A164" s="307"/>
      <c r="B164" s="258" t="s">
        <v>91</v>
      </c>
      <c r="C164" s="258"/>
      <c r="D164" s="258"/>
      <c r="E164" s="258"/>
      <c r="F164" s="258"/>
      <c r="G164" s="258"/>
      <c r="H164" s="258"/>
      <c r="I164" s="258"/>
      <c r="J164" s="258"/>
      <c r="K164" s="258"/>
      <c r="L164" s="258"/>
      <c r="M164" s="310">
        <v>9.8800000000000008</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18.903225806451612</v>
      </c>
      <c r="N165" s="264" t="s">
        <v>145</v>
      </c>
      <c r="O165" s="6"/>
    </row>
    <row r="166" spans="1:15" ht="15.6" x14ac:dyDescent="0.3">
      <c r="A166" s="307"/>
      <c r="B166" s="258" t="s">
        <v>182</v>
      </c>
      <c r="C166" s="258"/>
      <c r="D166" s="258"/>
      <c r="E166" s="258"/>
      <c r="F166" s="258"/>
      <c r="G166" s="258"/>
      <c r="H166" s="258"/>
      <c r="I166" s="258"/>
      <c r="J166" s="258"/>
      <c r="K166" s="258"/>
      <c r="L166" s="258"/>
      <c r="M166" s="310">
        <v>12.6</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APRIL 2015</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42124</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9.5200000000000007E-2</v>
      </c>
      <c r="L176" s="258"/>
      <c r="M176" s="258"/>
      <c r="N176" s="264"/>
      <c r="O176" s="6"/>
    </row>
    <row r="177" spans="1:15" ht="15.6" x14ac:dyDescent="0.3">
      <c r="A177" s="301"/>
      <c r="B177" s="258" t="s">
        <v>97</v>
      </c>
      <c r="C177" s="302"/>
      <c r="D177" s="302"/>
      <c r="E177" s="302"/>
      <c r="F177" s="302"/>
      <c r="G177" s="302"/>
      <c r="H177" s="303"/>
      <c r="I177" s="303"/>
      <c r="J177" s="303"/>
      <c r="K177" s="304">
        <f>M36</f>
        <v>1.6447810493682047E-2</v>
      </c>
      <c r="L177" s="258"/>
      <c r="M177" s="258"/>
      <c r="N177" s="264"/>
      <c r="O177" s="6"/>
    </row>
    <row r="178" spans="1:15" ht="15.6" x14ac:dyDescent="0.3">
      <c r="A178" s="301"/>
      <c r="B178" s="258" t="s">
        <v>98</v>
      </c>
      <c r="C178" s="302"/>
      <c r="D178" s="302"/>
      <c r="E178" s="302"/>
      <c r="F178" s="302"/>
      <c r="G178" s="302"/>
      <c r="H178" s="303"/>
      <c r="I178" s="303"/>
      <c r="J178" s="303"/>
      <c r="K178" s="304">
        <f>K176-K177</f>
        <v>7.875218950631796E-2</v>
      </c>
      <c r="L178" s="258"/>
      <c r="M178" s="258"/>
      <c r="N178" s="264"/>
      <c r="O178" s="6"/>
    </row>
    <row r="179" spans="1:15" ht="15.6" x14ac:dyDescent="0.3">
      <c r="A179" s="301"/>
      <c r="B179" s="258" t="s">
        <v>211</v>
      </c>
      <c r="C179" s="302"/>
      <c r="D179" s="302"/>
      <c r="E179" s="302"/>
      <c r="F179" s="302"/>
      <c r="G179" s="302"/>
      <c r="H179" s="303"/>
      <c r="I179" s="303"/>
      <c r="J179" s="303"/>
      <c r="K179" s="304">
        <f>(+M87+M89)/E58</f>
        <v>2.7685127993960605E-2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11.38</v>
      </c>
      <c r="L184" s="258" t="s">
        <v>139</v>
      </c>
      <c r="M184" s="258"/>
      <c r="N184" s="264"/>
      <c r="O184" s="6"/>
    </row>
    <row r="185" spans="1:15" ht="15.6" x14ac:dyDescent="0.3">
      <c r="A185" s="301"/>
      <c r="B185" s="258" t="s">
        <v>103</v>
      </c>
      <c r="C185" s="302"/>
      <c r="D185" s="302"/>
      <c r="E185" s="302"/>
      <c r="F185" s="302"/>
      <c r="G185" s="302"/>
      <c r="H185" s="303"/>
      <c r="I185" s="303"/>
      <c r="J185" s="303"/>
      <c r="K185" s="304">
        <f>K80/E58</f>
        <v>4.3099306842358111E-2</v>
      </c>
      <c r="L185" s="258"/>
      <c r="M185" s="258"/>
      <c r="N185" s="264"/>
      <c r="O185" s="6"/>
    </row>
    <row r="186" spans="1:15" ht="15.6" x14ac:dyDescent="0.3">
      <c r="A186" s="301"/>
      <c r="B186" s="258" t="s">
        <v>104</v>
      </c>
      <c r="C186" s="302"/>
      <c r="D186" s="302"/>
      <c r="E186" s="302"/>
      <c r="F186" s="302"/>
      <c r="G186" s="302"/>
      <c r="H186" s="303"/>
      <c r="I186" s="303"/>
      <c r="J186" s="303"/>
      <c r="K186" s="304">
        <v>0.23019999999999999</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443</v>
      </c>
      <c r="K189" s="369">
        <v>9137</v>
      </c>
      <c r="L189" s="217"/>
      <c r="M189" s="229"/>
      <c r="N189" s="230"/>
      <c r="O189" s="6"/>
    </row>
    <row r="190" spans="1:15" ht="15.6" x14ac:dyDescent="0.3">
      <c r="A190" s="275"/>
      <c r="B190" s="258" t="s">
        <v>196</v>
      </c>
      <c r="C190" s="256"/>
      <c r="D190" s="256"/>
      <c r="E190" s="256"/>
      <c r="F190" s="256"/>
      <c r="G190" s="258"/>
      <c r="H190" s="258"/>
      <c r="I190" s="258"/>
      <c r="J190" s="377">
        <v>0</v>
      </c>
      <c r="K190" s="375">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119</v>
      </c>
      <c r="L194" s="258"/>
      <c r="M194" s="281"/>
      <c r="N194" s="286"/>
      <c r="O194" s="6"/>
    </row>
    <row r="195" spans="1:15" ht="15.6" x14ac:dyDescent="0.3">
      <c r="A195" s="275"/>
      <c r="B195" s="258" t="s">
        <v>111</v>
      </c>
      <c r="C195" s="256"/>
      <c r="D195" s="256"/>
      <c r="E195" s="256"/>
      <c r="F195" s="256"/>
      <c r="G195" s="256"/>
      <c r="H195" s="258"/>
      <c r="I195" s="258"/>
      <c r="J195" s="258"/>
      <c r="K195" s="375">
        <f>'Jan 15'!K195+'April 15'!K194</f>
        <v>37309</v>
      </c>
      <c r="L195" s="258"/>
      <c r="M195" s="281"/>
      <c r="N195" s="286"/>
      <c r="O195" s="6"/>
    </row>
    <row r="196" spans="1:15" ht="15.6" x14ac:dyDescent="0.3">
      <c r="A196" s="275"/>
      <c r="B196" s="258" t="s">
        <v>112</v>
      </c>
      <c r="C196" s="256"/>
      <c r="D196" s="256"/>
      <c r="E196" s="256"/>
      <c r="F196" s="256"/>
      <c r="G196" s="256"/>
      <c r="H196" s="258"/>
      <c r="I196" s="258"/>
      <c r="J196" s="258"/>
      <c r="K196" s="375">
        <f>'Jan 15'!K196+693</f>
        <v>13511</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1</v>
      </c>
      <c r="L198" s="258"/>
      <c r="M198" s="261"/>
      <c r="N198" s="286"/>
      <c r="O198" s="6"/>
    </row>
    <row r="199" spans="1:15" ht="15.6" x14ac:dyDescent="0.3">
      <c r="A199" s="275"/>
      <c r="B199" s="258" t="s">
        <v>113</v>
      </c>
      <c r="C199" s="256"/>
      <c r="D199" s="256"/>
      <c r="E199" s="290"/>
      <c r="F199" s="290"/>
      <c r="G199" s="291"/>
      <c r="H199" s="258"/>
      <c r="I199" s="258"/>
      <c r="J199" s="258"/>
      <c r="K199" s="376">
        <v>13.94</v>
      </c>
      <c r="L199" s="258"/>
      <c r="M199" s="261"/>
      <c r="N199" s="286"/>
      <c r="O199" s="6"/>
    </row>
    <row r="200" spans="1:15" ht="15.6" x14ac:dyDescent="0.3">
      <c r="A200" s="275"/>
      <c r="B200" s="258" t="s">
        <v>114</v>
      </c>
      <c r="C200" s="256"/>
      <c r="D200" s="256"/>
      <c r="E200" s="290"/>
      <c r="F200" s="290"/>
      <c r="G200" s="291"/>
      <c r="H200" s="258"/>
      <c r="I200" s="258"/>
      <c r="J200" s="258"/>
      <c r="K200" s="376">
        <v>7.18</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3029</v>
      </c>
      <c r="J205" s="232">
        <f>I205/I213</f>
        <v>0.87240783410138245</v>
      </c>
      <c r="K205" s="221">
        <v>60459</v>
      </c>
      <c r="L205" s="232">
        <f>K205/K213</f>
        <v>0.86871371917926321</v>
      </c>
      <c r="M205" s="228"/>
      <c r="N205" s="218"/>
      <c r="O205" s="6"/>
    </row>
    <row r="206" spans="1:15" ht="15.6" x14ac:dyDescent="0.3">
      <c r="A206" s="255"/>
      <c r="B206" s="256" t="s">
        <v>117</v>
      </c>
      <c r="C206" s="257"/>
      <c r="D206" s="257"/>
      <c r="E206" s="256"/>
      <c r="F206" s="257"/>
      <c r="G206" s="258"/>
      <c r="H206" s="259"/>
      <c r="I206" s="256">
        <v>80</v>
      </c>
      <c r="J206" s="259">
        <f>I206/I213</f>
        <v>2.3041474654377881E-2</v>
      </c>
      <c r="K206" s="260">
        <v>1393</v>
      </c>
      <c r="L206" s="259">
        <f>K206/K213</f>
        <v>2.0015518133226048E-2</v>
      </c>
      <c r="M206" s="261"/>
      <c r="N206" s="263"/>
      <c r="O206" s="6"/>
    </row>
    <row r="207" spans="1:15" ht="15.6" x14ac:dyDescent="0.3">
      <c r="A207" s="255"/>
      <c r="B207" s="256" t="s">
        <v>118</v>
      </c>
      <c r="C207" s="257"/>
      <c r="D207" s="257"/>
      <c r="E207" s="256"/>
      <c r="F207" s="257"/>
      <c r="G207" s="256"/>
      <c r="H207" s="259"/>
      <c r="I207" s="256">
        <v>62</v>
      </c>
      <c r="J207" s="259">
        <f>I207/I213</f>
        <v>1.7857142857142856E-2</v>
      </c>
      <c r="K207" s="260">
        <v>1458</v>
      </c>
      <c r="L207" s="259">
        <f>K207/K213</f>
        <v>2.0949479855164089E-2</v>
      </c>
      <c r="M207" s="374"/>
      <c r="N207" s="263"/>
      <c r="O207" s="6"/>
    </row>
    <row r="208" spans="1:15" ht="15.6" x14ac:dyDescent="0.3">
      <c r="A208" s="255"/>
      <c r="B208" s="256" t="s">
        <v>167</v>
      </c>
      <c r="C208" s="257"/>
      <c r="D208" s="257"/>
      <c r="E208" s="256"/>
      <c r="F208" s="257"/>
      <c r="G208" s="256"/>
      <c r="H208" s="259"/>
      <c r="I208" s="256">
        <v>59</v>
      </c>
      <c r="J208" s="259">
        <f>I208/I213</f>
        <v>1.6993087557603686E-2</v>
      </c>
      <c r="K208" s="260">
        <v>1042</v>
      </c>
      <c r="L208" s="259">
        <f>K208/K213</f>
        <v>1.4972124834760618E-2</v>
      </c>
      <c r="M208" s="374"/>
      <c r="N208" s="263"/>
      <c r="O208" s="6"/>
    </row>
    <row r="209" spans="1:15" ht="15.6" x14ac:dyDescent="0.3">
      <c r="A209" s="255"/>
      <c r="B209" s="256" t="s">
        <v>168</v>
      </c>
      <c r="C209" s="257"/>
      <c r="D209" s="257"/>
      <c r="E209" s="256"/>
      <c r="F209" s="257"/>
      <c r="G209" s="258"/>
      <c r="H209" s="259"/>
      <c r="I209" s="256">
        <v>48</v>
      </c>
      <c r="J209" s="259">
        <f>I209/I213</f>
        <v>1.3824884792626729E-2</v>
      </c>
      <c r="K209" s="260">
        <v>1075</v>
      </c>
      <c r="L209" s="259">
        <f>K209/K213</f>
        <v>1.5446290016667625E-2</v>
      </c>
      <c r="M209" s="374"/>
      <c r="N209" s="262"/>
      <c r="O209" s="6"/>
    </row>
    <row r="210" spans="1:15" ht="15.6" x14ac:dyDescent="0.3">
      <c r="A210" s="255"/>
      <c r="B210" s="256" t="s">
        <v>169</v>
      </c>
      <c r="C210" s="257"/>
      <c r="D210" s="257"/>
      <c r="E210" s="256"/>
      <c r="F210" s="257"/>
      <c r="G210" s="258"/>
      <c r="H210" s="259"/>
      <c r="I210" s="256">
        <v>41</v>
      </c>
      <c r="J210" s="259">
        <f>I210/I213</f>
        <v>1.1808755760368663E-2</v>
      </c>
      <c r="K210" s="260">
        <v>842</v>
      </c>
      <c r="L210" s="259">
        <f>K210/K213</f>
        <v>1.2098396459566643E-2</v>
      </c>
      <c r="M210" s="374"/>
      <c r="N210" s="262"/>
      <c r="O210" s="6"/>
    </row>
    <row r="211" spans="1:15" ht="15.6" x14ac:dyDescent="0.3">
      <c r="A211" s="255"/>
      <c r="B211" s="256" t="s">
        <v>176</v>
      </c>
      <c r="C211" s="257"/>
      <c r="D211" s="257"/>
      <c r="E211" s="256"/>
      <c r="F211" s="257"/>
      <c r="G211" s="258"/>
      <c r="H211" s="259"/>
      <c r="I211" s="256">
        <v>95</v>
      </c>
      <c r="J211" s="259">
        <f>I211/I213</f>
        <v>2.7361751152073732E-2</v>
      </c>
      <c r="K211" s="260">
        <v>1951</v>
      </c>
      <c r="L211" s="259">
        <f>K211/K213</f>
        <v>2.8033220300017241E-2</v>
      </c>
      <c r="M211" s="261"/>
      <c r="N211" s="263"/>
      <c r="O211" s="6"/>
    </row>
    <row r="212" spans="1:15" ht="15.6" x14ac:dyDescent="0.3">
      <c r="A212" s="255"/>
      <c r="B212" s="256" t="s">
        <v>202</v>
      </c>
      <c r="C212" s="257"/>
      <c r="D212" s="257"/>
      <c r="E212" s="256"/>
      <c r="F212" s="257"/>
      <c r="G212" s="258"/>
      <c r="H212" s="259"/>
      <c r="I212" s="256">
        <v>58</v>
      </c>
      <c r="J212" s="259">
        <f>+I212/I213</f>
        <v>1.6705069124423964E-2</v>
      </c>
      <c r="K212" s="260">
        <v>1376</v>
      </c>
      <c r="L212" s="259">
        <f>+K212/K213</f>
        <v>1.9771251221334558E-2</v>
      </c>
      <c r="M212" s="261"/>
      <c r="N212" s="263"/>
      <c r="O212" s="6"/>
    </row>
    <row r="213" spans="1:15" ht="15.6" x14ac:dyDescent="0.3">
      <c r="A213" s="255"/>
      <c r="B213" s="258" t="s">
        <v>189</v>
      </c>
      <c r="C213" s="258"/>
      <c r="D213" s="258"/>
      <c r="E213" s="258"/>
      <c r="F213" s="258"/>
      <c r="G213" s="256"/>
      <c r="H213" s="258"/>
      <c r="I213" s="256">
        <f>SUM(I205:I212)</f>
        <v>3472</v>
      </c>
      <c r="J213" s="259">
        <f>SUM(J205:J212)</f>
        <v>1</v>
      </c>
      <c r="K213" s="260">
        <f>SUM(K205:K212)</f>
        <v>69596</v>
      </c>
      <c r="L213" s="259">
        <f>SUM(L205:L212)</f>
        <v>1</v>
      </c>
      <c r="M213" s="258"/>
      <c r="N213" s="264"/>
      <c r="O213" s="6"/>
    </row>
    <row r="214" spans="1:15" ht="15.6" x14ac:dyDescent="0.3">
      <c r="A214" s="255"/>
      <c r="B214" s="256" t="s">
        <v>170</v>
      </c>
      <c r="C214" s="257"/>
      <c r="D214" s="257"/>
      <c r="E214" s="256"/>
      <c r="F214" s="257"/>
      <c r="G214" s="256"/>
      <c r="H214" s="259"/>
      <c r="I214" s="256">
        <v>309</v>
      </c>
      <c r="J214" s="259"/>
      <c r="K214" s="260">
        <v>8682</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1.0337000000000001</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APRIL 2015</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800-000000000000}"/>
    <hyperlink ref="K202" r:id="rId2" xr:uid="{00000000-0004-0000-28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2D2926"/>
  </sheetPr>
  <dimension ref="A1:P227"/>
  <sheetViews>
    <sheetView showOutlineSymbols="0" zoomScale="70" zoomScaleNormal="70" workbookViewId="0">
      <selection activeCell="B1" sqref="A1:B1"/>
    </sheetView>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179687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42236</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272</v>
      </c>
      <c r="F27" s="341"/>
      <c r="G27" s="341" t="s">
        <v>273</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34504.1466</v>
      </c>
      <c r="D31" s="345"/>
      <c r="E31" s="344">
        <f>E30*E34</f>
        <v>21360.024000000001</v>
      </c>
      <c r="F31" s="344"/>
      <c r="G31" s="344">
        <f>G30*G34</f>
        <v>13731.444000000001</v>
      </c>
      <c r="H31" s="346"/>
      <c r="I31" s="346"/>
      <c r="J31" s="346"/>
      <c r="K31" s="346"/>
      <c r="L31" s="347"/>
      <c r="M31" s="344">
        <f>C31+E31+G31</f>
        <v>69595.614600000001</v>
      </c>
      <c r="N31" s="348"/>
      <c r="O31" s="6"/>
    </row>
    <row r="32" spans="1:15" ht="15.6" x14ac:dyDescent="0.3">
      <c r="A32" s="340"/>
      <c r="B32" s="319" t="s">
        <v>16</v>
      </c>
      <c r="C32" s="349">
        <f>C30*C33</f>
        <v>34504.1466</v>
      </c>
      <c r="D32" s="350"/>
      <c r="E32" s="349">
        <f>E30*E33</f>
        <v>19488.6888</v>
      </c>
      <c r="F32" s="349"/>
      <c r="G32" s="349">
        <f>G30*G33</f>
        <v>12528.442800000001</v>
      </c>
      <c r="H32" s="351"/>
      <c r="I32" s="351"/>
      <c r="J32" s="351"/>
      <c r="K32" s="351"/>
      <c r="L32" s="352"/>
      <c r="M32" s="344">
        <f>C32+E32+G32</f>
        <v>66521.278200000001</v>
      </c>
      <c r="N32" s="348"/>
      <c r="O32" s="6"/>
    </row>
    <row r="33" spans="1:15" ht="15.6" x14ac:dyDescent="0.3">
      <c r="A33" s="340"/>
      <c r="B33" s="278" t="s">
        <v>174</v>
      </c>
      <c r="C33" s="371">
        <v>0.14936859999999999</v>
      </c>
      <c r="D33" s="372"/>
      <c r="E33" s="371">
        <v>0.4640164</v>
      </c>
      <c r="F33" s="371"/>
      <c r="G33" s="371">
        <v>0.4640164</v>
      </c>
      <c r="H33" s="373"/>
      <c r="I33" s="373"/>
      <c r="J33" s="351"/>
      <c r="K33" s="351"/>
      <c r="L33" s="352"/>
      <c r="M33" s="351"/>
      <c r="N33" s="348"/>
      <c r="O33" s="6"/>
    </row>
    <row r="34" spans="1:15" ht="15.6" x14ac:dyDescent="0.3">
      <c r="A34" s="340"/>
      <c r="B34" s="278" t="s">
        <v>175</v>
      </c>
      <c r="C34" s="371">
        <v>0.14936859999999999</v>
      </c>
      <c r="D34" s="372"/>
      <c r="E34" s="371">
        <v>0.50857200000000002</v>
      </c>
      <c r="F34" s="371"/>
      <c r="G34" s="371">
        <v>0.50857200000000002</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9.6688E-3</v>
      </c>
      <c r="D36" s="258"/>
      <c r="E36" s="356">
        <v>2.0668800000000001E-2</v>
      </c>
      <c r="F36" s="304"/>
      <c r="G36" s="356">
        <v>2.5668799999999999E-2</v>
      </c>
      <c r="H36" s="304"/>
      <c r="I36" s="356"/>
      <c r="J36" s="304"/>
      <c r="K36" s="356"/>
      <c r="L36" s="321"/>
      <c r="M36" s="304">
        <f>SUMPRODUCT(C36:G36,C31:G31)/M31</f>
        <v>1.6201731286161817E-2</v>
      </c>
      <c r="N36" s="264"/>
      <c r="O36" s="6"/>
    </row>
    <row r="37" spans="1:15" ht="15.6" x14ac:dyDescent="0.3">
      <c r="A37" s="307"/>
      <c r="B37" s="258" t="s">
        <v>19</v>
      </c>
      <c r="C37" s="356">
        <v>9.6275000000000006E-3</v>
      </c>
      <c r="D37" s="258"/>
      <c r="E37" s="356">
        <v>2.06275E-2</v>
      </c>
      <c r="F37" s="304"/>
      <c r="G37" s="356">
        <v>2.5627500000000001E-2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0.92792127193199436</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42233</v>
      </c>
      <c r="N47" s="264"/>
      <c r="O47" s="6"/>
    </row>
    <row r="48" spans="1:15" ht="15.6" x14ac:dyDescent="0.3">
      <c r="A48" s="307"/>
      <c r="B48" s="258" t="s">
        <v>26</v>
      </c>
      <c r="C48" s="258"/>
      <c r="D48" s="258"/>
      <c r="E48" s="258"/>
      <c r="F48" s="258"/>
      <c r="G48" s="258"/>
      <c r="H48" s="258"/>
      <c r="I48" s="258"/>
      <c r="J48" s="258">
        <f>M48-K48+1</f>
        <v>88</v>
      </c>
      <c r="K48" s="360">
        <v>42051</v>
      </c>
      <c r="L48" s="361"/>
      <c r="M48" s="360">
        <v>42138</v>
      </c>
      <c r="N48" s="264"/>
      <c r="O48" s="6"/>
    </row>
    <row r="49" spans="1:15" ht="15.6" x14ac:dyDescent="0.3">
      <c r="A49" s="307"/>
      <c r="B49" s="258" t="s">
        <v>27</v>
      </c>
      <c r="C49" s="258"/>
      <c r="D49" s="258"/>
      <c r="E49" s="258"/>
      <c r="F49" s="258"/>
      <c r="G49" s="258"/>
      <c r="H49" s="258"/>
      <c r="I49" s="258"/>
      <c r="J49" s="258">
        <f>M49-K49+1</f>
        <v>94</v>
      </c>
      <c r="K49" s="360">
        <v>42139</v>
      </c>
      <c r="L49" s="361"/>
      <c r="M49" s="360">
        <v>42232</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42219</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271</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69596</v>
      </c>
      <c r="F58" s="256"/>
      <c r="G58" s="256">
        <v>3075</v>
      </c>
      <c r="H58" s="256"/>
      <c r="I58" s="256">
        <v>0</v>
      </c>
      <c r="J58" s="256"/>
      <c r="K58" s="256">
        <v>0</v>
      </c>
      <c r="L58" s="256"/>
      <c r="M58" s="260">
        <f>E58-G58+I58-K58</f>
        <v>66521</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69596</v>
      </c>
      <c r="F62" s="256"/>
      <c r="G62" s="256">
        <f>SUM(G58:G61)</f>
        <v>3075</v>
      </c>
      <c r="H62" s="256"/>
      <c r="I62" s="256">
        <f>SUM(I58:I61)</f>
        <v>0</v>
      </c>
      <c r="J62" s="256"/>
      <c r="K62" s="256">
        <f>SUM(K58:K61)</f>
        <v>0</v>
      </c>
      <c r="L62" s="256"/>
      <c r="M62" s="256">
        <f>SUM(M58:M61)</f>
        <v>66521</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69596</v>
      </c>
      <c r="F75" s="256"/>
      <c r="G75" s="256"/>
      <c r="H75" s="256"/>
      <c r="I75" s="256"/>
      <c r="J75" s="256"/>
      <c r="K75" s="256"/>
      <c r="L75" s="256"/>
      <c r="M75" s="256">
        <f>SUM(M62:M74)</f>
        <v>66521</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42216</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3075+197</f>
        <v>3272</v>
      </c>
      <c r="L80" s="258"/>
      <c r="M80" s="260"/>
      <c r="N80" s="264"/>
      <c r="O80" s="6"/>
    </row>
    <row r="81" spans="1:16" ht="15.6" x14ac:dyDescent="0.3">
      <c r="A81" s="307"/>
      <c r="B81" s="258" t="s">
        <v>204</v>
      </c>
      <c r="C81" s="290"/>
      <c r="D81" s="325"/>
      <c r="E81" s="326"/>
      <c r="F81" s="258"/>
      <c r="G81" s="258"/>
      <c r="H81" s="258"/>
      <c r="I81" s="258"/>
      <c r="J81" s="258"/>
      <c r="K81" s="256"/>
      <c r="L81" s="258"/>
      <c r="M81" s="260">
        <f>3454+9-2106</f>
        <v>1357</v>
      </c>
      <c r="N81" s="264"/>
      <c r="O81" s="6"/>
    </row>
    <row r="82" spans="1:16" ht="15.6" x14ac:dyDescent="0.3">
      <c r="A82" s="307"/>
      <c r="B82" s="258" t="s">
        <v>205</v>
      </c>
      <c r="C82" s="290"/>
      <c r="D82" s="325"/>
      <c r="E82" s="326"/>
      <c r="F82" s="258"/>
      <c r="G82" s="258"/>
      <c r="H82" s="258"/>
      <c r="I82" s="258"/>
      <c r="J82" s="258"/>
      <c r="K82" s="256"/>
      <c r="L82" s="258"/>
      <c r="M82" s="260">
        <v>153</v>
      </c>
      <c r="N82" s="264"/>
      <c r="O82" s="6"/>
    </row>
    <row r="83" spans="1:16" ht="15.6" x14ac:dyDescent="0.3">
      <c r="A83" s="307"/>
      <c r="B83" s="258" t="s">
        <v>206</v>
      </c>
      <c r="C83" s="290"/>
      <c r="D83" s="325"/>
      <c r="E83" s="326"/>
      <c r="F83" s="258"/>
      <c r="G83" s="258"/>
      <c r="H83" s="258"/>
      <c r="I83" s="258"/>
      <c r="J83" s="258"/>
      <c r="K83" s="256"/>
      <c r="L83" s="258"/>
      <c r="M83" s="260">
        <v>21</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3272</v>
      </c>
      <c r="L85" s="258"/>
      <c r="M85" s="256">
        <f>SUM(M79:M84)</f>
        <v>1531</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3272</v>
      </c>
      <c r="L87" s="258"/>
      <c r="M87" s="256">
        <f>M85+M86</f>
        <v>1531</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-27-21-1</f>
        <v>-49</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-86</v>
      </c>
      <c r="N93" s="311"/>
      <c r="O93" s="6"/>
    </row>
    <row r="94" spans="1:16" ht="15.6" x14ac:dyDescent="0.3">
      <c r="A94" s="255">
        <v>5</v>
      </c>
      <c r="B94" s="258" t="s">
        <v>52</v>
      </c>
      <c r="C94" s="258"/>
      <c r="D94" s="258"/>
      <c r="E94" s="258"/>
      <c r="F94" s="258"/>
      <c r="G94" s="258"/>
      <c r="H94" s="258"/>
      <c r="I94" s="258"/>
      <c r="J94" s="258"/>
      <c r="K94" s="258"/>
      <c r="L94" s="258"/>
      <c r="M94" s="260">
        <v>-114</v>
      </c>
      <c r="N94" s="311"/>
      <c r="O94" s="6"/>
    </row>
    <row r="95" spans="1:16" ht="15.6" x14ac:dyDescent="0.3">
      <c r="A95" s="255">
        <v>6</v>
      </c>
      <c r="B95" s="258" t="s">
        <v>172</v>
      </c>
      <c r="C95" s="258"/>
      <c r="D95" s="258"/>
      <c r="E95" s="258"/>
      <c r="F95" s="258"/>
      <c r="G95" s="258"/>
      <c r="H95" s="258"/>
      <c r="I95" s="258"/>
      <c r="J95" s="258"/>
      <c r="K95" s="258"/>
      <c r="L95" s="258"/>
      <c r="M95" s="260">
        <v>-91</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-197</v>
      </c>
      <c r="L97" s="258"/>
      <c r="M97" s="260">
        <v>197</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-26</v>
      </c>
      <c r="N101" s="311"/>
      <c r="O101" s="6"/>
    </row>
    <row r="102" spans="1:16" ht="15.6" x14ac:dyDescent="0.3">
      <c r="A102" s="255">
        <v>13</v>
      </c>
      <c r="B102" s="258" t="s">
        <v>195</v>
      </c>
      <c r="C102" s="258"/>
      <c r="D102" s="258"/>
      <c r="E102" s="258"/>
      <c r="F102" s="258"/>
      <c r="G102" s="258"/>
      <c r="H102" s="258"/>
      <c r="I102" s="258"/>
      <c r="J102" s="258"/>
      <c r="K102" s="258"/>
      <c r="L102" s="258"/>
      <c r="M102" s="260">
        <f>-M87-SUM(M89:M101)</f>
        <v>-1353</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0</v>
      </c>
      <c r="L107" s="256"/>
      <c r="M107" s="260"/>
      <c r="N107" s="311"/>
      <c r="O107" s="6"/>
    </row>
    <row r="108" spans="1:16" ht="15.6" x14ac:dyDescent="0.3">
      <c r="A108" s="307"/>
      <c r="B108" s="258" t="s">
        <v>59</v>
      </c>
      <c r="C108" s="258"/>
      <c r="D108" s="258"/>
      <c r="E108" s="258"/>
      <c r="F108" s="258"/>
      <c r="G108" s="258"/>
      <c r="H108" s="258"/>
      <c r="I108" s="258"/>
      <c r="J108" s="258"/>
      <c r="K108" s="256">
        <v>-1872</v>
      </c>
      <c r="L108" s="256"/>
      <c r="M108" s="260"/>
      <c r="N108" s="311"/>
      <c r="O108" s="6"/>
    </row>
    <row r="109" spans="1:16" ht="15.6" x14ac:dyDescent="0.3">
      <c r="A109" s="307"/>
      <c r="B109" s="258" t="s">
        <v>186</v>
      </c>
      <c r="C109" s="258"/>
      <c r="D109" s="258"/>
      <c r="E109" s="258"/>
      <c r="F109" s="258"/>
      <c r="G109" s="258"/>
      <c r="H109" s="258"/>
      <c r="I109" s="258"/>
      <c r="J109" s="258"/>
      <c r="K109" s="256">
        <v>-1203</v>
      </c>
      <c r="L109" s="256"/>
      <c r="M109" s="260"/>
      <c r="N109" s="311"/>
      <c r="O109" s="6"/>
    </row>
    <row r="110" spans="1:16" ht="15.6" x14ac:dyDescent="0.3">
      <c r="A110" s="307"/>
      <c r="B110" s="258" t="s">
        <v>60</v>
      </c>
      <c r="C110" s="258"/>
      <c r="D110" s="258"/>
      <c r="E110" s="258"/>
      <c r="F110" s="258"/>
      <c r="G110" s="258"/>
      <c r="H110" s="258"/>
      <c r="I110" s="258"/>
      <c r="J110" s="258"/>
      <c r="K110" s="256">
        <f>+K105+K106+K107+K108+K109</f>
        <v>-3075</v>
      </c>
      <c r="L110" s="256"/>
      <c r="M110" s="256">
        <f>SUM(M88:M109)</f>
        <v>-1531</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JULY 2015</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-283</v>
      </c>
      <c r="N139" s="264"/>
      <c r="O139" s="6"/>
    </row>
    <row r="140" spans="1:15" ht="15.6" x14ac:dyDescent="0.3">
      <c r="A140" s="307"/>
      <c r="B140" s="258" t="s">
        <v>180</v>
      </c>
      <c r="C140" s="258"/>
      <c r="D140" s="258"/>
      <c r="E140" s="258"/>
      <c r="F140" s="258"/>
      <c r="G140" s="258"/>
      <c r="H140" s="258"/>
      <c r="I140" s="258"/>
      <c r="J140" s="258"/>
      <c r="K140" s="258"/>
      <c r="L140" s="258"/>
      <c r="M140" s="260">
        <f>127-41</f>
        <v>86</v>
      </c>
      <c r="N140" s="264"/>
      <c r="O140" s="6"/>
    </row>
    <row r="141" spans="1:15" ht="15.6" x14ac:dyDescent="0.3">
      <c r="A141" s="307"/>
      <c r="B141" s="258" t="s">
        <v>77</v>
      </c>
      <c r="C141" s="258"/>
      <c r="D141" s="258"/>
      <c r="E141" s="258"/>
      <c r="F141" s="258"/>
      <c r="G141" s="258"/>
      <c r="H141" s="258"/>
      <c r="I141" s="258"/>
      <c r="J141" s="258"/>
      <c r="K141" s="258"/>
      <c r="L141" s="258"/>
      <c r="M141" s="260">
        <f>M139+M138+M140</f>
        <v>-197</v>
      </c>
      <c r="N141" s="264"/>
      <c r="O141" s="6"/>
    </row>
    <row r="142" spans="1:15" ht="15.6" x14ac:dyDescent="0.3">
      <c r="A142" s="307"/>
      <c r="B142" s="258" t="s">
        <v>183</v>
      </c>
      <c r="C142" s="258"/>
      <c r="D142" s="258"/>
      <c r="E142" s="258"/>
      <c r="F142" s="258"/>
      <c r="G142" s="258"/>
      <c r="H142" s="258"/>
      <c r="I142" s="303"/>
      <c r="J142" s="258"/>
      <c r="K142" s="258"/>
      <c r="L142" s="258"/>
      <c r="M142" s="260">
        <f>M97</f>
        <v>197</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66521</v>
      </c>
      <c r="N148" s="318"/>
      <c r="O148" s="6"/>
      <c r="P148" s="117"/>
    </row>
    <row r="149" spans="1:16" ht="15.6" x14ac:dyDescent="0.3">
      <c r="A149" s="307"/>
      <c r="B149" s="258" t="s">
        <v>80</v>
      </c>
      <c r="C149" s="319"/>
      <c r="D149" s="319"/>
      <c r="E149" s="258"/>
      <c r="F149" s="258"/>
      <c r="G149" s="258"/>
      <c r="H149" s="258"/>
      <c r="I149" s="258"/>
      <c r="J149" s="258"/>
      <c r="K149" s="258"/>
      <c r="L149" s="258"/>
      <c r="M149" s="260">
        <f>M75</f>
        <v>66521</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+'April 15'!I156</f>
        <v>7636</v>
      </c>
      <c r="J154" s="258"/>
      <c r="K154" s="260">
        <f>+'April 15'!K156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17.209302325581394</v>
      </c>
      <c r="N161" s="264" t="s">
        <v>145</v>
      </c>
      <c r="O161" s="6"/>
    </row>
    <row r="162" spans="1:15" ht="15.6" x14ac:dyDescent="0.3">
      <c r="A162" s="307"/>
      <c r="B162" s="258" t="s">
        <v>89</v>
      </c>
      <c r="C162" s="258"/>
      <c r="D162" s="258"/>
      <c r="E162" s="258"/>
      <c r="F162" s="258"/>
      <c r="G162" s="258"/>
      <c r="H162" s="258"/>
      <c r="I162" s="258"/>
      <c r="J162" s="258"/>
      <c r="K162" s="258"/>
      <c r="L162" s="258"/>
      <c r="M162" s="309">
        <v>3.68</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12.228070175438596</v>
      </c>
      <c r="N163" s="264" t="s">
        <v>145</v>
      </c>
      <c r="O163" s="6"/>
    </row>
    <row r="164" spans="1:15" ht="15.6" x14ac:dyDescent="0.3">
      <c r="A164" s="307"/>
      <c r="B164" s="258" t="s">
        <v>91</v>
      </c>
      <c r="C164" s="258"/>
      <c r="D164" s="258"/>
      <c r="E164" s="258"/>
      <c r="F164" s="258"/>
      <c r="G164" s="258"/>
      <c r="H164" s="258"/>
      <c r="I164" s="258"/>
      <c r="J164" s="258"/>
      <c r="K164" s="258"/>
      <c r="L164" s="258"/>
      <c r="M164" s="310">
        <v>9.89</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14.065934065934066</v>
      </c>
      <c r="N165" s="264" t="s">
        <v>145</v>
      </c>
      <c r="O165" s="6"/>
    </row>
    <row r="166" spans="1:15" ht="15.6" x14ac:dyDescent="0.3">
      <c r="A166" s="307"/>
      <c r="B166" s="258" t="s">
        <v>182</v>
      </c>
      <c r="C166" s="258"/>
      <c r="D166" s="258"/>
      <c r="E166" s="258"/>
      <c r="F166" s="258"/>
      <c r="G166" s="258"/>
      <c r="H166" s="258"/>
      <c r="I166" s="258"/>
      <c r="J166" s="258"/>
      <c r="K166" s="258"/>
      <c r="L166" s="258"/>
      <c r="M166" s="310">
        <v>12.61</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JULY 2015</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42216</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9.5100000000000004E-2</v>
      </c>
      <c r="L176" s="258"/>
      <c r="M176" s="258"/>
      <c r="N176" s="264"/>
      <c r="O176" s="6"/>
    </row>
    <row r="177" spans="1:15" ht="15.6" x14ac:dyDescent="0.3">
      <c r="A177" s="301"/>
      <c r="B177" s="258" t="s">
        <v>97</v>
      </c>
      <c r="C177" s="302"/>
      <c r="D177" s="302"/>
      <c r="E177" s="302"/>
      <c r="F177" s="302"/>
      <c r="G177" s="302"/>
      <c r="H177" s="303"/>
      <c r="I177" s="303"/>
      <c r="J177" s="303"/>
      <c r="K177" s="304">
        <f>M36</f>
        <v>1.6201731286161817E-2</v>
      </c>
      <c r="L177" s="258"/>
      <c r="M177" s="258"/>
      <c r="N177" s="264"/>
      <c r="O177" s="6"/>
    </row>
    <row r="178" spans="1:15" ht="15.6" x14ac:dyDescent="0.3">
      <c r="A178" s="301"/>
      <c r="B178" s="258" t="s">
        <v>98</v>
      </c>
      <c r="C178" s="302"/>
      <c r="D178" s="302"/>
      <c r="E178" s="302"/>
      <c r="F178" s="302"/>
      <c r="G178" s="302"/>
      <c r="H178" s="303"/>
      <c r="I178" s="303"/>
      <c r="J178" s="303"/>
      <c r="K178" s="304">
        <f>K176-K177</f>
        <v>7.8898268713838191E-2</v>
      </c>
      <c r="L178" s="258"/>
      <c r="M178" s="258"/>
      <c r="N178" s="264"/>
      <c r="O178" s="6"/>
    </row>
    <row r="179" spans="1:15" ht="15.6" x14ac:dyDescent="0.3">
      <c r="A179" s="301"/>
      <c r="B179" s="258" t="s">
        <v>211</v>
      </c>
      <c r="C179" s="302"/>
      <c r="D179" s="302"/>
      <c r="E179" s="302"/>
      <c r="F179" s="302"/>
      <c r="G179" s="302"/>
      <c r="H179" s="303"/>
      <c r="I179" s="303"/>
      <c r="J179" s="303"/>
      <c r="K179" s="304">
        <f>(+M87+M89)/E58</f>
        <v>2.1998390712109891E-2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11.25</v>
      </c>
      <c r="L184" s="258" t="s">
        <v>139</v>
      </c>
      <c r="M184" s="258"/>
      <c r="N184" s="264"/>
      <c r="O184" s="6"/>
    </row>
    <row r="185" spans="1:15" ht="15.6" x14ac:dyDescent="0.3">
      <c r="A185" s="301"/>
      <c r="B185" s="258" t="s">
        <v>103</v>
      </c>
      <c r="C185" s="302"/>
      <c r="D185" s="302"/>
      <c r="E185" s="302"/>
      <c r="F185" s="302"/>
      <c r="G185" s="302"/>
      <c r="H185" s="303"/>
      <c r="I185" s="303"/>
      <c r="J185" s="303"/>
      <c r="K185" s="304">
        <f>K80/E58</f>
        <v>4.701419621817346E-2</v>
      </c>
      <c r="L185" s="258"/>
      <c r="M185" s="258"/>
      <c r="N185" s="264"/>
      <c r="O185" s="6"/>
    </row>
    <row r="186" spans="1:15" ht="15.6" x14ac:dyDescent="0.3">
      <c r="A186" s="301"/>
      <c r="B186" s="258" t="s">
        <v>104</v>
      </c>
      <c r="C186" s="302"/>
      <c r="D186" s="302"/>
      <c r="E186" s="302"/>
      <c r="F186" s="302"/>
      <c r="G186" s="302"/>
      <c r="H186" s="303"/>
      <c r="I186" s="303"/>
      <c r="J186" s="303"/>
      <c r="K186" s="304">
        <v>0.22900000000000001</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436</v>
      </c>
      <c r="K189" s="369">
        <v>9392</v>
      </c>
      <c r="L189" s="217"/>
      <c r="M189" s="229"/>
      <c r="N189" s="230"/>
      <c r="O189" s="6"/>
    </row>
    <row r="190" spans="1:15" ht="15.6" x14ac:dyDescent="0.3">
      <c r="A190" s="275"/>
      <c r="B190" s="258" t="s">
        <v>196</v>
      </c>
      <c r="C190" s="256"/>
      <c r="D190" s="256"/>
      <c r="E190" s="256"/>
      <c r="F190" s="256"/>
      <c r="G190" s="258"/>
      <c r="H190" s="258"/>
      <c r="I190" s="258"/>
      <c r="J190" s="377">
        <v>0</v>
      </c>
      <c r="K190" s="375">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-197</v>
      </c>
      <c r="L194" s="258"/>
      <c r="M194" s="281"/>
      <c r="N194" s="286"/>
      <c r="O194" s="6"/>
    </row>
    <row r="195" spans="1:15" ht="15.6" x14ac:dyDescent="0.3">
      <c r="A195" s="275"/>
      <c r="B195" s="258" t="s">
        <v>111</v>
      </c>
      <c r="C195" s="256"/>
      <c r="D195" s="256"/>
      <c r="E195" s="256"/>
      <c r="F195" s="256"/>
      <c r="G195" s="256"/>
      <c r="H195" s="258"/>
      <c r="I195" s="258"/>
      <c r="J195" s="258"/>
      <c r="K195" s="375">
        <f>'April 15'!K195+'July 15'!K194</f>
        <v>37112</v>
      </c>
      <c r="L195" s="258"/>
      <c r="M195" s="281"/>
      <c r="N195" s="286"/>
      <c r="O195" s="6"/>
    </row>
    <row r="196" spans="1:15" ht="15.6" x14ac:dyDescent="0.3">
      <c r="A196" s="275"/>
      <c r="B196" s="258" t="s">
        <v>112</v>
      </c>
      <c r="C196" s="256"/>
      <c r="D196" s="256"/>
      <c r="E196" s="256"/>
      <c r="F196" s="256"/>
      <c r="G196" s="256"/>
      <c r="H196" s="258"/>
      <c r="I196" s="258"/>
      <c r="J196" s="258"/>
      <c r="K196" s="375">
        <f>'April 15'!K196+354</f>
        <v>13865</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1</v>
      </c>
      <c r="L198" s="258"/>
      <c r="M198" s="261"/>
      <c r="N198" s="286"/>
      <c r="O198" s="6"/>
    </row>
    <row r="199" spans="1:15" ht="15.6" x14ac:dyDescent="0.3">
      <c r="A199" s="275"/>
      <c r="B199" s="258" t="s">
        <v>113</v>
      </c>
      <c r="C199" s="256"/>
      <c r="D199" s="256"/>
      <c r="E199" s="290"/>
      <c r="F199" s="290"/>
      <c r="G199" s="291"/>
      <c r="H199" s="258"/>
      <c r="I199" s="258"/>
      <c r="J199" s="258"/>
      <c r="K199" s="376">
        <v>13.05</v>
      </c>
      <c r="L199" s="258"/>
      <c r="M199" s="261"/>
      <c r="N199" s="286"/>
      <c r="O199" s="6"/>
    </row>
    <row r="200" spans="1:15" ht="15.6" x14ac:dyDescent="0.3">
      <c r="A200" s="275"/>
      <c r="B200" s="258" t="s">
        <v>114</v>
      </c>
      <c r="C200" s="256"/>
      <c r="D200" s="256"/>
      <c r="E200" s="290"/>
      <c r="F200" s="290"/>
      <c r="G200" s="291"/>
      <c r="H200" s="258"/>
      <c r="I200" s="258"/>
      <c r="J200" s="258"/>
      <c r="K200" s="376">
        <v>5.31</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2898</v>
      </c>
      <c r="J205" s="232">
        <f>I205/I213</f>
        <v>0.86922615476904619</v>
      </c>
      <c r="K205" s="221">
        <v>57129</v>
      </c>
      <c r="L205" s="232">
        <f>K205/K213</f>
        <v>0.85881150313434851</v>
      </c>
      <c r="M205" s="228"/>
      <c r="N205" s="218"/>
      <c r="O205" s="6"/>
    </row>
    <row r="206" spans="1:15" ht="15.6" x14ac:dyDescent="0.3">
      <c r="A206" s="255"/>
      <c r="B206" s="256" t="s">
        <v>117</v>
      </c>
      <c r="C206" s="257"/>
      <c r="D206" s="257"/>
      <c r="E206" s="256"/>
      <c r="F206" s="257"/>
      <c r="G206" s="258"/>
      <c r="H206" s="259"/>
      <c r="I206" s="256">
        <v>87</v>
      </c>
      <c r="J206" s="259">
        <f>I206/I213</f>
        <v>2.6094781043791242E-2</v>
      </c>
      <c r="K206" s="260">
        <v>1849</v>
      </c>
      <c r="L206" s="259">
        <f>K206/K213</f>
        <v>2.7795733678086618E-2</v>
      </c>
      <c r="M206" s="261"/>
      <c r="N206" s="263"/>
      <c r="O206" s="6"/>
    </row>
    <row r="207" spans="1:15" ht="15.6" x14ac:dyDescent="0.3">
      <c r="A207" s="255"/>
      <c r="B207" s="256" t="s">
        <v>118</v>
      </c>
      <c r="C207" s="257"/>
      <c r="D207" s="257"/>
      <c r="E207" s="256"/>
      <c r="F207" s="257"/>
      <c r="G207" s="256"/>
      <c r="H207" s="259"/>
      <c r="I207" s="256">
        <v>53</v>
      </c>
      <c r="J207" s="259">
        <f>I207/I213</f>
        <v>1.5896820635872826E-2</v>
      </c>
      <c r="K207" s="260">
        <v>1033</v>
      </c>
      <c r="L207" s="259">
        <f>K207/K213</f>
        <v>1.5528930713609236E-2</v>
      </c>
      <c r="M207" s="374"/>
      <c r="N207" s="263"/>
      <c r="O207" s="6"/>
    </row>
    <row r="208" spans="1:15" ht="15.6" x14ac:dyDescent="0.3">
      <c r="A208" s="255"/>
      <c r="B208" s="256" t="s">
        <v>167</v>
      </c>
      <c r="C208" s="257"/>
      <c r="D208" s="257"/>
      <c r="E208" s="256"/>
      <c r="F208" s="257"/>
      <c r="G208" s="256"/>
      <c r="H208" s="259"/>
      <c r="I208" s="256">
        <v>51</v>
      </c>
      <c r="J208" s="259">
        <f>I208/I213</f>
        <v>1.5296940611877625E-2</v>
      </c>
      <c r="K208" s="260">
        <v>1048</v>
      </c>
      <c r="L208" s="259">
        <f>K208/K213</f>
        <v>1.575442341516213E-2</v>
      </c>
      <c r="M208" s="374"/>
      <c r="N208" s="263"/>
      <c r="O208" s="6"/>
    </row>
    <row r="209" spans="1:15" ht="15.6" x14ac:dyDescent="0.3">
      <c r="A209" s="255"/>
      <c r="B209" s="256" t="s">
        <v>168</v>
      </c>
      <c r="C209" s="257"/>
      <c r="D209" s="257"/>
      <c r="E209" s="256"/>
      <c r="F209" s="257"/>
      <c r="G209" s="258"/>
      <c r="H209" s="259"/>
      <c r="I209" s="256">
        <v>45</v>
      </c>
      <c r="J209" s="259">
        <f>I209/I213</f>
        <v>1.3497300539892022E-2</v>
      </c>
      <c r="K209" s="260">
        <v>900</v>
      </c>
      <c r="L209" s="259">
        <f>K209/K213</f>
        <v>1.3529562093173584E-2</v>
      </c>
      <c r="M209" s="374"/>
      <c r="N209" s="262"/>
      <c r="O209" s="6"/>
    </row>
    <row r="210" spans="1:15" ht="15.6" x14ac:dyDescent="0.3">
      <c r="A210" s="255"/>
      <c r="B210" s="256" t="s">
        <v>169</v>
      </c>
      <c r="C210" s="257"/>
      <c r="D210" s="257"/>
      <c r="E210" s="256"/>
      <c r="F210" s="257"/>
      <c r="G210" s="258"/>
      <c r="H210" s="259"/>
      <c r="I210" s="256">
        <v>35</v>
      </c>
      <c r="J210" s="259">
        <f>I210/I213</f>
        <v>1.0497900419916016E-2</v>
      </c>
      <c r="K210" s="260">
        <v>791</v>
      </c>
      <c r="L210" s="259">
        <f>K210/K213</f>
        <v>1.1890981795222562E-2</v>
      </c>
      <c r="M210" s="374"/>
      <c r="N210" s="262"/>
      <c r="O210" s="6"/>
    </row>
    <row r="211" spans="1:15" ht="15.6" x14ac:dyDescent="0.3">
      <c r="A211" s="255"/>
      <c r="B211" s="256" t="s">
        <v>176</v>
      </c>
      <c r="C211" s="257"/>
      <c r="D211" s="257"/>
      <c r="E211" s="256"/>
      <c r="F211" s="257"/>
      <c r="G211" s="258"/>
      <c r="H211" s="259"/>
      <c r="I211" s="256">
        <v>106</v>
      </c>
      <c r="J211" s="259">
        <f>I211/I213</f>
        <v>3.1793641271745651E-2</v>
      </c>
      <c r="K211" s="260">
        <v>2189</v>
      </c>
      <c r="L211" s="259">
        <f>K211/K213</f>
        <v>3.2906901579952193E-2</v>
      </c>
      <c r="M211" s="261"/>
      <c r="N211" s="263"/>
      <c r="O211" s="6"/>
    </row>
    <row r="212" spans="1:15" ht="15.6" x14ac:dyDescent="0.3">
      <c r="A212" s="255"/>
      <c r="B212" s="256" t="s">
        <v>202</v>
      </c>
      <c r="C212" s="257"/>
      <c r="D212" s="257"/>
      <c r="E212" s="256"/>
      <c r="F212" s="257"/>
      <c r="G212" s="258"/>
      <c r="H212" s="259"/>
      <c r="I212" s="256">
        <v>59</v>
      </c>
      <c r="J212" s="259">
        <f>+I212/I213</f>
        <v>1.7696460707858429E-2</v>
      </c>
      <c r="K212" s="260">
        <v>1582</v>
      </c>
      <c r="L212" s="259">
        <f>+K212/K213</f>
        <v>2.3781963590445123E-2</v>
      </c>
      <c r="M212" s="261"/>
      <c r="N212" s="263"/>
      <c r="O212" s="6"/>
    </row>
    <row r="213" spans="1:15" ht="15.6" x14ac:dyDescent="0.3">
      <c r="A213" s="255"/>
      <c r="B213" s="258" t="s">
        <v>189</v>
      </c>
      <c r="C213" s="258"/>
      <c r="D213" s="258"/>
      <c r="E213" s="258"/>
      <c r="F213" s="258"/>
      <c r="G213" s="256"/>
      <c r="H213" s="258"/>
      <c r="I213" s="256">
        <f>SUM(I205:I212)</f>
        <v>3334</v>
      </c>
      <c r="J213" s="259">
        <f>SUM(J205:J212)</f>
        <v>1</v>
      </c>
      <c r="K213" s="260">
        <f>SUM(K205:K212)</f>
        <v>66521</v>
      </c>
      <c r="L213" s="259">
        <f>SUM(L205:L212)</f>
        <v>1</v>
      </c>
      <c r="M213" s="258"/>
      <c r="N213" s="264"/>
      <c r="O213" s="6"/>
    </row>
    <row r="214" spans="1:15" ht="15.6" x14ac:dyDescent="0.3">
      <c r="A214" s="255"/>
      <c r="B214" s="256" t="s">
        <v>170</v>
      </c>
      <c r="C214" s="257"/>
      <c r="D214" s="257"/>
      <c r="E214" s="256"/>
      <c r="F214" s="257"/>
      <c r="G214" s="256"/>
      <c r="H214" s="259"/>
      <c r="I214" s="256">
        <v>304</v>
      </c>
      <c r="J214" s="259"/>
      <c r="K214" s="260">
        <v>8399</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1.0328999999999999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JULY 2015</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900-000000000000}"/>
    <hyperlink ref="K202" r:id="rId2" xr:uid="{00000000-0004-0000-29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89CB31"/>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179687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42331</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272</v>
      </c>
      <c r="F27" s="341"/>
      <c r="G27" s="341" t="s">
        <v>273</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34504.1466</v>
      </c>
      <c r="D31" s="345"/>
      <c r="E31" s="344">
        <f>E30*E34</f>
        <v>19488.6888</v>
      </c>
      <c r="F31" s="344"/>
      <c r="G31" s="344">
        <f>G30*G34</f>
        <v>12528.442800000001</v>
      </c>
      <c r="H31" s="346"/>
      <c r="I31" s="346"/>
      <c r="J31" s="346"/>
      <c r="K31" s="346"/>
      <c r="L31" s="347"/>
      <c r="M31" s="344">
        <f>C31+E31+G31</f>
        <v>66521.278200000001</v>
      </c>
      <c r="N31" s="348"/>
      <c r="O31" s="6"/>
    </row>
    <row r="32" spans="1:15" ht="15.6" x14ac:dyDescent="0.3">
      <c r="A32" s="340"/>
      <c r="B32" s="319" t="s">
        <v>16</v>
      </c>
      <c r="C32" s="349">
        <f>C30*C33</f>
        <v>34180.654199999997</v>
      </c>
      <c r="D32" s="350"/>
      <c r="E32" s="349">
        <f>E30*E33</f>
        <v>17794.786799999998</v>
      </c>
      <c r="F32" s="349"/>
      <c r="G32" s="349">
        <f>G30*G33</f>
        <v>11439.505799999999</v>
      </c>
      <c r="H32" s="351"/>
      <c r="I32" s="351"/>
      <c r="J32" s="351"/>
      <c r="K32" s="351"/>
      <c r="L32" s="352"/>
      <c r="M32" s="344">
        <f>C32+E32+G32</f>
        <v>63414.946799999991</v>
      </c>
      <c r="N32" s="348"/>
      <c r="O32" s="6"/>
    </row>
    <row r="33" spans="1:15" ht="15.6" x14ac:dyDescent="0.3">
      <c r="A33" s="340"/>
      <c r="B33" s="278" t="s">
        <v>174</v>
      </c>
      <c r="C33" s="371">
        <v>0.14796819999999999</v>
      </c>
      <c r="D33" s="372"/>
      <c r="E33" s="371">
        <v>0.42368539999999999</v>
      </c>
      <c r="F33" s="371"/>
      <c r="G33" s="371">
        <v>0.42368539999999999</v>
      </c>
      <c r="H33" s="373"/>
      <c r="I33" s="373"/>
      <c r="J33" s="351"/>
      <c r="K33" s="351"/>
      <c r="L33" s="352"/>
      <c r="M33" s="351"/>
      <c r="N33" s="348"/>
      <c r="O33" s="6"/>
    </row>
    <row r="34" spans="1:15" ht="15.6" x14ac:dyDescent="0.3">
      <c r="A34" s="340"/>
      <c r="B34" s="278" t="s">
        <v>175</v>
      </c>
      <c r="C34" s="371">
        <v>0.14936859999999999</v>
      </c>
      <c r="D34" s="372"/>
      <c r="E34" s="371">
        <v>0.4640164</v>
      </c>
      <c r="F34" s="371"/>
      <c r="G34" s="371">
        <v>0.4640164</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9.8563000000000001E-3</v>
      </c>
      <c r="D36" s="258"/>
      <c r="E36" s="356">
        <v>2.0856300000000001E-2</v>
      </c>
      <c r="F36" s="304"/>
      <c r="G36" s="356">
        <v>2.5856299999999999E-2</v>
      </c>
      <c r="H36" s="304"/>
      <c r="I36" s="356"/>
      <c r="J36" s="304"/>
      <c r="K36" s="356"/>
      <c r="L36" s="321"/>
      <c r="M36" s="304">
        <f>SUMPRODUCT(C36:G36,C31:G31)/M31</f>
        <v>1.6092359691348503E-2</v>
      </c>
      <c r="N36" s="264"/>
      <c r="O36" s="6"/>
    </row>
    <row r="37" spans="1:15" ht="15.6" x14ac:dyDescent="0.3">
      <c r="A37" s="307"/>
      <c r="B37" s="258" t="s">
        <v>19</v>
      </c>
      <c r="C37" s="356">
        <v>9.6688E-3</v>
      </c>
      <c r="D37" s="258"/>
      <c r="E37" s="356">
        <v>2.0668800000000001E-2</v>
      </c>
      <c r="F37" s="304"/>
      <c r="G37" s="356">
        <v>2.5668799999999999E-2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0.855287684926756</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42324</v>
      </c>
      <c r="N47" s="264"/>
      <c r="O47" s="6"/>
    </row>
    <row r="48" spans="1:15" ht="15.6" x14ac:dyDescent="0.3">
      <c r="A48" s="307"/>
      <c r="B48" s="258" t="s">
        <v>26</v>
      </c>
      <c r="C48" s="258"/>
      <c r="D48" s="258"/>
      <c r="E48" s="258"/>
      <c r="F48" s="258"/>
      <c r="G48" s="258"/>
      <c r="H48" s="258"/>
      <c r="I48" s="258"/>
      <c r="J48" s="258">
        <f>M48-K48+1</f>
        <v>94</v>
      </c>
      <c r="K48" s="360">
        <v>42139</v>
      </c>
      <c r="L48" s="361"/>
      <c r="M48" s="360">
        <v>42232</v>
      </c>
      <c r="N48" s="264"/>
      <c r="O48" s="6"/>
    </row>
    <row r="49" spans="1:15" ht="15.6" x14ac:dyDescent="0.3">
      <c r="A49" s="307"/>
      <c r="B49" s="258" t="s">
        <v>27</v>
      </c>
      <c r="C49" s="258"/>
      <c r="D49" s="258"/>
      <c r="E49" s="258"/>
      <c r="F49" s="258"/>
      <c r="G49" s="258"/>
      <c r="H49" s="258"/>
      <c r="I49" s="258"/>
      <c r="J49" s="258">
        <f>M49-K49+1</f>
        <v>91</v>
      </c>
      <c r="K49" s="360">
        <v>42233</v>
      </c>
      <c r="L49" s="361"/>
      <c r="M49" s="360">
        <v>42323</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42310</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274</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66521</v>
      </c>
      <c r="F58" s="256"/>
      <c r="G58" s="256">
        <v>3106</v>
      </c>
      <c r="H58" s="256"/>
      <c r="I58" s="256">
        <v>0</v>
      </c>
      <c r="J58" s="256"/>
      <c r="K58" s="256">
        <v>0</v>
      </c>
      <c r="L58" s="256"/>
      <c r="M58" s="260">
        <f>E58-G58+I58-K58</f>
        <v>63415</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66521</v>
      </c>
      <c r="F62" s="256"/>
      <c r="G62" s="256">
        <f>SUM(G58:G61)</f>
        <v>3106</v>
      </c>
      <c r="H62" s="256"/>
      <c r="I62" s="256">
        <f>SUM(I58:I61)</f>
        <v>0</v>
      </c>
      <c r="J62" s="256"/>
      <c r="K62" s="256">
        <f>SUM(K58:K61)</f>
        <v>0</v>
      </c>
      <c r="L62" s="256"/>
      <c r="M62" s="256">
        <f>SUM(M58:M61)</f>
        <v>63415</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66521</v>
      </c>
      <c r="F75" s="256"/>
      <c r="G75" s="256"/>
      <c r="H75" s="256"/>
      <c r="I75" s="256"/>
      <c r="J75" s="256"/>
      <c r="K75" s="256"/>
      <c r="L75" s="256"/>
      <c r="M75" s="256">
        <f>SUM(M62:M74)</f>
        <v>63415</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42307</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3106-66</f>
        <v>3040</v>
      </c>
      <c r="L80" s="258"/>
      <c r="M80" s="260"/>
      <c r="N80" s="264"/>
      <c r="O80" s="6"/>
    </row>
    <row r="81" spans="1:16" ht="15.6" x14ac:dyDescent="0.3">
      <c r="A81" s="307"/>
      <c r="B81" s="258" t="s">
        <v>204</v>
      </c>
      <c r="C81" s="290"/>
      <c r="D81" s="325"/>
      <c r="E81" s="326"/>
      <c r="F81" s="258"/>
      <c r="G81" s="258"/>
      <c r="H81" s="258"/>
      <c r="I81" s="258"/>
      <c r="J81" s="258"/>
      <c r="K81" s="256"/>
      <c r="L81" s="258"/>
      <c r="M81" s="260">
        <f>3506+11-1839</f>
        <v>1678</v>
      </c>
      <c r="N81" s="264"/>
      <c r="O81" s="6"/>
    </row>
    <row r="82" spans="1:16" ht="15.6" x14ac:dyDescent="0.3">
      <c r="A82" s="307"/>
      <c r="B82" s="258" t="s">
        <v>205</v>
      </c>
      <c r="C82" s="290"/>
      <c r="D82" s="325"/>
      <c r="E82" s="326"/>
      <c r="F82" s="258"/>
      <c r="G82" s="258"/>
      <c r="H82" s="258"/>
      <c r="I82" s="258"/>
      <c r="J82" s="258"/>
      <c r="K82" s="256"/>
      <c r="L82" s="258"/>
      <c r="M82" s="260">
        <v>69</v>
      </c>
      <c r="N82" s="264"/>
      <c r="O82" s="6"/>
    </row>
    <row r="83" spans="1:16" ht="15.6" x14ac:dyDescent="0.3">
      <c r="A83" s="307"/>
      <c r="B83" s="258" t="s">
        <v>206</v>
      </c>
      <c r="C83" s="290"/>
      <c r="D83" s="325"/>
      <c r="E83" s="326"/>
      <c r="F83" s="258"/>
      <c r="G83" s="258"/>
      <c r="H83" s="258"/>
      <c r="I83" s="258"/>
      <c r="J83" s="258"/>
      <c r="K83" s="256"/>
      <c r="L83" s="258"/>
      <c r="M83" s="260">
        <v>22</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3040</v>
      </c>
      <c r="L85" s="258"/>
      <c r="M85" s="256">
        <f>SUM(M79:M84)</f>
        <v>1769</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3040</v>
      </c>
      <c r="L87" s="258"/>
      <c r="M87" s="256">
        <f>M85+M86</f>
        <v>1769</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-25-22-1</f>
        <v>-48</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-85</v>
      </c>
      <c r="N93" s="311"/>
      <c r="O93" s="6"/>
    </row>
    <row r="94" spans="1:16" ht="15.6" x14ac:dyDescent="0.3">
      <c r="A94" s="255">
        <v>5</v>
      </c>
      <c r="B94" s="258" t="s">
        <v>52</v>
      </c>
      <c r="C94" s="258"/>
      <c r="D94" s="258"/>
      <c r="E94" s="258"/>
      <c r="F94" s="258"/>
      <c r="G94" s="258"/>
      <c r="H94" s="258"/>
      <c r="I94" s="258"/>
      <c r="J94" s="258"/>
      <c r="K94" s="258"/>
      <c r="L94" s="258"/>
      <c r="M94" s="260">
        <v>-101</v>
      </c>
      <c r="N94" s="311"/>
      <c r="O94" s="6"/>
    </row>
    <row r="95" spans="1:16" ht="15.6" x14ac:dyDescent="0.3">
      <c r="A95" s="255">
        <v>6</v>
      </c>
      <c r="B95" s="258" t="s">
        <v>172</v>
      </c>
      <c r="C95" s="258"/>
      <c r="D95" s="258"/>
      <c r="E95" s="258"/>
      <c r="F95" s="258"/>
      <c r="G95" s="258"/>
      <c r="H95" s="258"/>
      <c r="I95" s="258"/>
      <c r="J95" s="258"/>
      <c r="K95" s="258"/>
      <c r="L95" s="258"/>
      <c r="M95" s="260">
        <v>-81</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66</v>
      </c>
      <c r="L97" s="258"/>
      <c r="M97" s="260">
        <v>-66</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-25</v>
      </c>
      <c r="N101" s="311"/>
      <c r="O101" s="6"/>
    </row>
    <row r="102" spans="1:16" ht="15.6" x14ac:dyDescent="0.3">
      <c r="A102" s="255">
        <v>13</v>
      </c>
      <c r="B102" s="258" t="s">
        <v>195</v>
      </c>
      <c r="C102" s="258"/>
      <c r="D102" s="258"/>
      <c r="E102" s="258"/>
      <c r="F102" s="258"/>
      <c r="G102" s="258"/>
      <c r="H102" s="258"/>
      <c r="I102" s="258"/>
      <c r="J102" s="258"/>
      <c r="K102" s="258"/>
      <c r="L102" s="258"/>
      <c r="M102" s="260">
        <f>-M87-SUM(M89:M101)</f>
        <v>-1354</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-323</v>
      </c>
      <c r="L107" s="256"/>
      <c r="M107" s="260"/>
      <c r="N107" s="311"/>
      <c r="O107" s="6"/>
    </row>
    <row r="108" spans="1:16" ht="15.6" x14ac:dyDescent="0.3">
      <c r="A108" s="307"/>
      <c r="B108" s="258" t="s">
        <v>59</v>
      </c>
      <c r="C108" s="258"/>
      <c r="D108" s="258"/>
      <c r="E108" s="258"/>
      <c r="F108" s="258"/>
      <c r="G108" s="258"/>
      <c r="H108" s="258"/>
      <c r="I108" s="258"/>
      <c r="J108" s="258"/>
      <c r="K108" s="256">
        <v>-1694</v>
      </c>
      <c r="L108" s="256"/>
      <c r="M108" s="260"/>
      <c r="N108" s="311"/>
      <c r="O108" s="6"/>
    </row>
    <row r="109" spans="1:16" ht="15.6" x14ac:dyDescent="0.3">
      <c r="A109" s="307"/>
      <c r="B109" s="258" t="s">
        <v>186</v>
      </c>
      <c r="C109" s="258"/>
      <c r="D109" s="258"/>
      <c r="E109" s="258"/>
      <c r="F109" s="258"/>
      <c r="G109" s="258"/>
      <c r="H109" s="258"/>
      <c r="I109" s="258"/>
      <c r="J109" s="258"/>
      <c r="K109" s="256">
        <v>-1089</v>
      </c>
      <c r="L109" s="256"/>
      <c r="M109" s="260"/>
      <c r="N109" s="311"/>
      <c r="O109" s="6"/>
    </row>
    <row r="110" spans="1:16" ht="15.6" x14ac:dyDescent="0.3">
      <c r="A110" s="307"/>
      <c r="B110" s="258" t="s">
        <v>60</v>
      </c>
      <c r="C110" s="258"/>
      <c r="D110" s="258"/>
      <c r="E110" s="258"/>
      <c r="F110" s="258"/>
      <c r="G110" s="258"/>
      <c r="H110" s="258"/>
      <c r="I110" s="258"/>
      <c r="J110" s="258"/>
      <c r="K110" s="256">
        <f>+K105+K106+K107+K108+K109</f>
        <v>-3106</v>
      </c>
      <c r="L110" s="256"/>
      <c r="M110" s="256">
        <f>SUM(M88:M109)</f>
        <v>-1769</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OCTOBER 2015</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-67</v>
      </c>
      <c r="N139" s="264"/>
      <c r="O139" s="6"/>
    </row>
    <row r="140" spans="1:15" ht="15.6" x14ac:dyDescent="0.3">
      <c r="A140" s="307"/>
      <c r="B140" s="258" t="s">
        <v>180</v>
      </c>
      <c r="C140" s="258"/>
      <c r="D140" s="258"/>
      <c r="E140" s="258"/>
      <c r="F140" s="258"/>
      <c r="G140" s="258"/>
      <c r="H140" s="258"/>
      <c r="I140" s="258"/>
      <c r="J140" s="258"/>
      <c r="K140" s="258"/>
      <c r="L140" s="258"/>
      <c r="M140" s="260">
        <f>99+34</f>
        <v>133</v>
      </c>
      <c r="N140" s="264"/>
      <c r="O140" s="6"/>
    </row>
    <row r="141" spans="1:15" ht="15.6" x14ac:dyDescent="0.3">
      <c r="A141" s="307"/>
      <c r="B141" s="258" t="s">
        <v>77</v>
      </c>
      <c r="C141" s="258"/>
      <c r="D141" s="258"/>
      <c r="E141" s="258"/>
      <c r="F141" s="258"/>
      <c r="G141" s="258"/>
      <c r="H141" s="258"/>
      <c r="I141" s="258"/>
      <c r="J141" s="258"/>
      <c r="K141" s="258"/>
      <c r="L141" s="258"/>
      <c r="M141" s="260">
        <f>M139+M138+M140</f>
        <v>66</v>
      </c>
      <c r="N141" s="264"/>
      <c r="O141" s="6"/>
    </row>
    <row r="142" spans="1:15" ht="15.6" x14ac:dyDescent="0.3">
      <c r="A142" s="307"/>
      <c r="B142" s="258" t="s">
        <v>183</v>
      </c>
      <c r="C142" s="258"/>
      <c r="D142" s="258"/>
      <c r="E142" s="258"/>
      <c r="F142" s="258"/>
      <c r="G142" s="258"/>
      <c r="H142" s="258"/>
      <c r="I142" s="303"/>
      <c r="J142" s="258"/>
      <c r="K142" s="258"/>
      <c r="L142" s="258"/>
      <c r="M142" s="260">
        <f>M97</f>
        <v>-66</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63415</v>
      </c>
      <c r="N148" s="318"/>
      <c r="O148" s="6"/>
      <c r="P148" s="117"/>
    </row>
    <row r="149" spans="1:16" ht="15.6" x14ac:dyDescent="0.3">
      <c r="A149" s="307"/>
      <c r="B149" s="258" t="s">
        <v>80</v>
      </c>
      <c r="C149" s="319"/>
      <c r="D149" s="319"/>
      <c r="E149" s="258"/>
      <c r="F149" s="258"/>
      <c r="G149" s="258"/>
      <c r="H149" s="258"/>
      <c r="I149" s="258"/>
      <c r="J149" s="258"/>
      <c r="K149" s="258"/>
      <c r="L149" s="258"/>
      <c r="M149" s="260">
        <f>M75</f>
        <v>63415</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+'July 15'!I156</f>
        <v>7636</v>
      </c>
      <c r="J154" s="258"/>
      <c r="K154" s="260">
        <f>+'July 15'!K156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20.223529411764705</v>
      </c>
      <c r="N161" s="264" t="s">
        <v>145</v>
      </c>
      <c r="O161" s="6"/>
    </row>
    <row r="162" spans="1:15" ht="15.6" x14ac:dyDescent="0.3">
      <c r="A162" s="307"/>
      <c r="B162" s="258" t="s">
        <v>89</v>
      </c>
      <c r="C162" s="258"/>
      <c r="D162" s="258"/>
      <c r="E162" s="258"/>
      <c r="F162" s="258"/>
      <c r="G162" s="258"/>
      <c r="H162" s="258"/>
      <c r="I162" s="258"/>
      <c r="J162" s="258"/>
      <c r="K162" s="258"/>
      <c r="L162" s="258"/>
      <c r="M162" s="309">
        <v>3.71</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16.178217821782177</v>
      </c>
      <c r="N163" s="264" t="s">
        <v>145</v>
      </c>
      <c r="O163" s="6"/>
    </row>
    <row r="164" spans="1:15" ht="15.6" x14ac:dyDescent="0.3">
      <c r="A164" s="307"/>
      <c r="B164" s="258" t="s">
        <v>91</v>
      </c>
      <c r="C164" s="258"/>
      <c r="D164" s="258"/>
      <c r="E164" s="258"/>
      <c r="F164" s="258"/>
      <c r="G164" s="258"/>
      <c r="H164" s="258"/>
      <c r="I164" s="258"/>
      <c r="J164" s="258"/>
      <c r="K164" s="258"/>
      <c r="L164" s="258"/>
      <c r="M164" s="310">
        <v>9.93</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18.925925925925927</v>
      </c>
      <c r="N165" s="264" t="s">
        <v>145</v>
      </c>
      <c r="O165" s="6"/>
    </row>
    <row r="166" spans="1:15" ht="15.6" x14ac:dyDescent="0.3">
      <c r="A166" s="307"/>
      <c r="B166" s="258" t="s">
        <v>182</v>
      </c>
      <c r="C166" s="258"/>
      <c r="D166" s="258"/>
      <c r="E166" s="258"/>
      <c r="F166" s="258"/>
      <c r="G166" s="258"/>
      <c r="H166" s="258"/>
      <c r="I166" s="258"/>
      <c r="J166" s="258"/>
      <c r="K166" s="258"/>
      <c r="L166" s="258"/>
      <c r="M166" s="310">
        <v>12.66</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OCTOBER 2015</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42307</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9.5100000000000004E-2</v>
      </c>
      <c r="L176" s="258"/>
      <c r="M176" s="258"/>
      <c r="N176" s="264"/>
      <c r="O176" s="6"/>
    </row>
    <row r="177" spans="1:15" ht="15.6" x14ac:dyDescent="0.3">
      <c r="A177" s="301"/>
      <c r="B177" s="258" t="s">
        <v>97</v>
      </c>
      <c r="C177" s="302"/>
      <c r="D177" s="302"/>
      <c r="E177" s="302"/>
      <c r="F177" s="302"/>
      <c r="G177" s="302"/>
      <c r="H177" s="303"/>
      <c r="I177" s="303"/>
      <c r="J177" s="303"/>
      <c r="K177" s="304">
        <f>M36</f>
        <v>1.6092359691348503E-2</v>
      </c>
      <c r="L177" s="258"/>
      <c r="M177" s="258"/>
      <c r="N177" s="264"/>
      <c r="O177" s="6"/>
    </row>
    <row r="178" spans="1:15" ht="15.6" x14ac:dyDescent="0.3">
      <c r="A178" s="301"/>
      <c r="B178" s="258" t="s">
        <v>98</v>
      </c>
      <c r="C178" s="302"/>
      <c r="D178" s="302"/>
      <c r="E178" s="302"/>
      <c r="F178" s="302"/>
      <c r="G178" s="302"/>
      <c r="H178" s="303"/>
      <c r="I178" s="303"/>
      <c r="J178" s="303"/>
      <c r="K178" s="304">
        <f>K176-K177</f>
        <v>7.9007640308651497E-2</v>
      </c>
      <c r="L178" s="258"/>
      <c r="M178" s="258"/>
      <c r="N178" s="264"/>
      <c r="O178" s="6"/>
    </row>
    <row r="179" spans="1:15" ht="15.6" x14ac:dyDescent="0.3">
      <c r="A179" s="301"/>
      <c r="B179" s="258" t="s">
        <v>211</v>
      </c>
      <c r="C179" s="302"/>
      <c r="D179" s="302"/>
      <c r="E179" s="302"/>
      <c r="F179" s="302"/>
      <c r="G179" s="302"/>
      <c r="H179" s="303"/>
      <c r="I179" s="303"/>
      <c r="J179" s="303"/>
      <c r="K179" s="304">
        <f>(+M87+M89)/E58</f>
        <v>2.6593105936471191E-2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11.1</v>
      </c>
      <c r="L184" s="258" t="s">
        <v>139</v>
      </c>
      <c r="M184" s="258"/>
      <c r="N184" s="264"/>
      <c r="O184" s="6"/>
    </row>
    <row r="185" spans="1:15" ht="15.6" x14ac:dyDescent="0.3">
      <c r="A185" s="301"/>
      <c r="B185" s="258" t="s">
        <v>103</v>
      </c>
      <c r="C185" s="302"/>
      <c r="D185" s="302"/>
      <c r="E185" s="302"/>
      <c r="F185" s="302"/>
      <c r="G185" s="302"/>
      <c r="H185" s="303"/>
      <c r="I185" s="303"/>
      <c r="J185" s="303"/>
      <c r="K185" s="304">
        <f>K80/E58</f>
        <v>4.5699854181386328E-2</v>
      </c>
      <c r="L185" s="258"/>
      <c r="M185" s="258"/>
      <c r="N185" s="264"/>
      <c r="O185" s="6"/>
    </row>
    <row r="186" spans="1:15" ht="15.6" x14ac:dyDescent="0.3">
      <c r="A186" s="301"/>
      <c r="B186" s="258" t="s">
        <v>104</v>
      </c>
      <c r="C186" s="302"/>
      <c r="D186" s="302"/>
      <c r="E186" s="302"/>
      <c r="F186" s="302"/>
      <c r="G186" s="302"/>
      <c r="H186" s="303"/>
      <c r="I186" s="303"/>
      <c r="J186" s="303"/>
      <c r="K186" s="304">
        <v>0.22770000000000001</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406</v>
      </c>
      <c r="K189" s="369">
        <v>8531</v>
      </c>
      <c r="L189" s="217"/>
      <c r="M189" s="229"/>
      <c r="N189" s="230"/>
      <c r="O189" s="6"/>
    </row>
    <row r="190" spans="1:15" ht="15.6" x14ac:dyDescent="0.3">
      <c r="A190" s="275"/>
      <c r="B190" s="258" t="s">
        <v>196</v>
      </c>
      <c r="C190" s="256"/>
      <c r="D190" s="256"/>
      <c r="E190" s="256"/>
      <c r="F190" s="256"/>
      <c r="G190" s="258"/>
      <c r="H190" s="258"/>
      <c r="I190" s="258"/>
      <c r="J190" s="377">
        <v>0</v>
      </c>
      <c r="K190" s="375">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66</v>
      </c>
      <c r="L194" s="258"/>
      <c r="M194" s="281"/>
      <c r="N194" s="286"/>
      <c r="O194" s="6"/>
    </row>
    <row r="195" spans="1:15" ht="15.6" x14ac:dyDescent="0.3">
      <c r="A195" s="275"/>
      <c r="B195" s="258" t="s">
        <v>111</v>
      </c>
      <c r="C195" s="256"/>
      <c r="D195" s="256"/>
      <c r="E195" s="256"/>
      <c r="F195" s="256"/>
      <c r="G195" s="256"/>
      <c r="H195" s="258"/>
      <c r="I195" s="258"/>
      <c r="J195" s="258"/>
      <c r="K195" s="375">
        <f>'July 15'!K195+'Oct 15'!K194</f>
        <v>37178</v>
      </c>
      <c r="L195" s="258"/>
      <c r="M195" s="281"/>
      <c r="N195" s="286"/>
      <c r="O195" s="6"/>
    </row>
    <row r="196" spans="1:15" ht="15.6" x14ac:dyDescent="0.3">
      <c r="A196" s="275"/>
      <c r="B196" s="258" t="s">
        <v>112</v>
      </c>
      <c r="C196" s="256"/>
      <c r="D196" s="256"/>
      <c r="E196" s="256"/>
      <c r="F196" s="256"/>
      <c r="G196" s="256"/>
      <c r="H196" s="258"/>
      <c r="I196" s="258"/>
      <c r="J196" s="258"/>
      <c r="K196" s="375">
        <f>'July 15'!K196+472</f>
        <v>14337</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0</v>
      </c>
      <c r="L198" s="258"/>
      <c r="M198" s="261"/>
      <c r="N198" s="286"/>
      <c r="O198" s="6"/>
    </row>
    <row r="199" spans="1:15" ht="15.6" x14ac:dyDescent="0.3">
      <c r="A199" s="275"/>
      <c r="B199" s="258" t="s">
        <v>113</v>
      </c>
      <c r="C199" s="256"/>
      <c r="D199" s="256"/>
      <c r="E199" s="290"/>
      <c r="F199" s="290"/>
      <c r="G199" s="291"/>
      <c r="H199" s="258"/>
      <c r="I199" s="258"/>
      <c r="J199" s="258"/>
      <c r="K199" s="376">
        <v>0</v>
      </c>
      <c r="L199" s="258"/>
      <c r="M199" s="261"/>
      <c r="N199" s="286"/>
      <c r="O199" s="6"/>
    </row>
    <row r="200" spans="1:15" ht="15.6" x14ac:dyDescent="0.3">
      <c r="A200" s="275"/>
      <c r="B200" s="258" t="s">
        <v>114</v>
      </c>
      <c r="C200" s="256"/>
      <c r="D200" s="256"/>
      <c r="E200" s="290"/>
      <c r="F200" s="290"/>
      <c r="G200" s="291"/>
      <c r="H200" s="258"/>
      <c r="I200" s="258"/>
      <c r="J200" s="258"/>
      <c r="K200" s="376">
        <v>0</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2811</v>
      </c>
      <c r="J205" s="232">
        <f>I205/I213</f>
        <v>0.87379546161019583</v>
      </c>
      <c r="K205" s="221">
        <v>54884</v>
      </c>
      <c r="L205" s="232">
        <f>K205/K213</f>
        <v>0.86547346842229755</v>
      </c>
      <c r="M205" s="228"/>
      <c r="N205" s="218"/>
      <c r="O205" s="6"/>
    </row>
    <row r="206" spans="1:15" ht="15.6" x14ac:dyDescent="0.3">
      <c r="A206" s="255"/>
      <c r="B206" s="256" t="s">
        <v>117</v>
      </c>
      <c r="C206" s="257"/>
      <c r="D206" s="257"/>
      <c r="E206" s="256"/>
      <c r="F206" s="257"/>
      <c r="G206" s="258"/>
      <c r="H206" s="259"/>
      <c r="I206" s="256">
        <v>65</v>
      </c>
      <c r="J206" s="259">
        <f>I206/I213</f>
        <v>2.0205160087037613E-2</v>
      </c>
      <c r="K206" s="260">
        <v>1108</v>
      </c>
      <c r="L206" s="259">
        <f>K206/K213</f>
        <v>1.7472206891114089E-2</v>
      </c>
      <c r="M206" s="261"/>
      <c r="N206" s="263"/>
      <c r="O206" s="6"/>
    </row>
    <row r="207" spans="1:15" ht="15.6" x14ac:dyDescent="0.3">
      <c r="A207" s="255"/>
      <c r="B207" s="256" t="s">
        <v>118</v>
      </c>
      <c r="C207" s="257"/>
      <c r="D207" s="257"/>
      <c r="E207" s="256"/>
      <c r="F207" s="257"/>
      <c r="G207" s="256"/>
      <c r="H207" s="259"/>
      <c r="I207" s="256">
        <v>55</v>
      </c>
      <c r="J207" s="259">
        <f>I207/I213</f>
        <v>1.7096673919801058E-2</v>
      </c>
      <c r="K207" s="260">
        <v>1163</v>
      </c>
      <c r="L207" s="259">
        <f>K207/K213</f>
        <v>1.8339509579752424E-2</v>
      </c>
      <c r="M207" s="374"/>
      <c r="N207" s="263"/>
      <c r="O207" s="6"/>
    </row>
    <row r="208" spans="1:15" ht="15.6" x14ac:dyDescent="0.3">
      <c r="A208" s="255"/>
      <c r="B208" s="256" t="s">
        <v>167</v>
      </c>
      <c r="C208" s="257"/>
      <c r="D208" s="257"/>
      <c r="E208" s="256"/>
      <c r="F208" s="257"/>
      <c r="G208" s="256"/>
      <c r="H208" s="259"/>
      <c r="I208" s="256">
        <v>51</v>
      </c>
      <c r="J208" s="259">
        <f>I208/I213</f>
        <v>1.5853279452906436E-2</v>
      </c>
      <c r="K208" s="260">
        <v>1074</v>
      </c>
      <c r="L208" s="259">
        <f>K208/K213</f>
        <v>1.6936056138137666E-2</v>
      </c>
      <c r="M208" s="374"/>
      <c r="N208" s="263"/>
      <c r="O208" s="6"/>
    </row>
    <row r="209" spans="1:15" ht="15.6" x14ac:dyDescent="0.3">
      <c r="A209" s="255"/>
      <c r="B209" s="256" t="s">
        <v>168</v>
      </c>
      <c r="C209" s="257"/>
      <c r="D209" s="257"/>
      <c r="E209" s="256"/>
      <c r="F209" s="257"/>
      <c r="G209" s="258"/>
      <c r="H209" s="259"/>
      <c r="I209" s="256">
        <v>47</v>
      </c>
      <c r="J209" s="259">
        <f>I209/I213</f>
        <v>1.4609884986011812E-2</v>
      </c>
      <c r="K209" s="260">
        <v>989</v>
      </c>
      <c r="L209" s="259">
        <f>K209/K213</f>
        <v>1.5595679255696602E-2</v>
      </c>
      <c r="M209" s="374"/>
      <c r="N209" s="262"/>
      <c r="O209" s="6"/>
    </row>
    <row r="210" spans="1:15" ht="15.6" x14ac:dyDescent="0.3">
      <c r="A210" s="255"/>
      <c r="B210" s="256" t="s">
        <v>169</v>
      </c>
      <c r="C210" s="257"/>
      <c r="D210" s="257"/>
      <c r="E210" s="256"/>
      <c r="F210" s="257"/>
      <c r="G210" s="258"/>
      <c r="H210" s="259"/>
      <c r="I210" s="256">
        <v>27</v>
      </c>
      <c r="J210" s="259">
        <f>I210/I213</f>
        <v>8.3929126515387004E-3</v>
      </c>
      <c r="K210" s="260">
        <v>705</v>
      </c>
      <c r="L210" s="259">
        <f>K210/K213</f>
        <v>1.1117243554364109E-2</v>
      </c>
      <c r="M210" s="374"/>
      <c r="N210" s="262"/>
      <c r="O210" s="6"/>
    </row>
    <row r="211" spans="1:15" ht="15.6" x14ac:dyDescent="0.3">
      <c r="A211" s="255"/>
      <c r="B211" s="256" t="s">
        <v>176</v>
      </c>
      <c r="C211" s="257"/>
      <c r="D211" s="257"/>
      <c r="E211" s="256"/>
      <c r="F211" s="257"/>
      <c r="G211" s="258"/>
      <c r="H211" s="259"/>
      <c r="I211" s="256">
        <v>90</v>
      </c>
      <c r="J211" s="259">
        <f>I211/I213</f>
        <v>2.7976375505129002E-2</v>
      </c>
      <c r="K211" s="260">
        <v>1857</v>
      </c>
      <c r="L211" s="259">
        <f>K211/K213</f>
        <v>2.9283292596388868E-2</v>
      </c>
      <c r="M211" s="261"/>
      <c r="N211" s="263"/>
      <c r="O211" s="6"/>
    </row>
    <row r="212" spans="1:15" ht="15.6" x14ac:dyDescent="0.3">
      <c r="A212" s="255"/>
      <c r="B212" s="256" t="s">
        <v>202</v>
      </c>
      <c r="C212" s="257"/>
      <c r="D212" s="257"/>
      <c r="E212" s="256"/>
      <c r="F212" s="257"/>
      <c r="G212" s="258"/>
      <c r="H212" s="259"/>
      <c r="I212" s="256">
        <v>71</v>
      </c>
      <c r="J212" s="259">
        <f>+I212/I213</f>
        <v>2.2070251787379546E-2</v>
      </c>
      <c r="K212" s="260">
        <v>1635</v>
      </c>
      <c r="L212" s="259">
        <f>+K212/K213</f>
        <v>2.578254356224868E-2</v>
      </c>
      <c r="M212" s="261"/>
      <c r="N212" s="263"/>
      <c r="O212" s="6"/>
    </row>
    <row r="213" spans="1:15" ht="15.6" x14ac:dyDescent="0.3">
      <c r="A213" s="255"/>
      <c r="B213" s="258" t="s">
        <v>189</v>
      </c>
      <c r="C213" s="258"/>
      <c r="D213" s="258"/>
      <c r="E213" s="258"/>
      <c r="F213" s="258"/>
      <c r="G213" s="256"/>
      <c r="H213" s="258"/>
      <c r="I213" s="256">
        <f>SUM(I205:I212)</f>
        <v>3217</v>
      </c>
      <c r="J213" s="259">
        <f>SUM(J205:J212)</f>
        <v>1.0000000000000002</v>
      </c>
      <c r="K213" s="260">
        <f>SUM(K205:K212)</f>
        <v>63415</v>
      </c>
      <c r="L213" s="259">
        <f>SUM(L205:L212)</f>
        <v>0.99999999999999989</v>
      </c>
      <c r="M213" s="258"/>
      <c r="N213" s="264"/>
      <c r="O213" s="6"/>
    </row>
    <row r="214" spans="1:15" ht="15.6" x14ac:dyDescent="0.3">
      <c r="A214" s="255"/>
      <c r="B214" s="256" t="s">
        <v>170</v>
      </c>
      <c r="C214" s="257"/>
      <c r="D214" s="257"/>
      <c r="E214" s="256"/>
      <c r="F214" s="257"/>
      <c r="G214" s="256"/>
      <c r="H214" s="259"/>
      <c r="I214" s="256">
        <v>299</v>
      </c>
      <c r="J214" s="259"/>
      <c r="K214" s="260">
        <v>8331</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1.1840999999999999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OCTOBER 2015</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A00-000000000000}"/>
    <hyperlink ref="K202" r:id="rId2" xr:uid="{00000000-0004-0000-2A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2D2926"/>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179687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42419</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125</v>
      </c>
      <c r="F26" s="341"/>
      <c r="G26" s="341" t="s">
        <v>158</v>
      </c>
      <c r="H26" s="342"/>
      <c r="I26" s="342"/>
      <c r="J26" s="338"/>
      <c r="K26" s="338"/>
      <c r="L26" s="339"/>
      <c r="M26" s="339"/>
      <c r="N26" s="311"/>
      <c r="O26" s="6"/>
    </row>
    <row r="27" spans="1:15" ht="15.6" x14ac:dyDescent="0.3">
      <c r="A27" s="340"/>
      <c r="B27" s="319" t="s">
        <v>12</v>
      </c>
      <c r="C27" s="341" t="s">
        <v>254</v>
      </c>
      <c r="D27" s="341"/>
      <c r="E27" s="341" t="s">
        <v>272</v>
      </c>
      <c r="F27" s="341"/>
      <c r="G27" s="341" t="s">
        <v>273</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34180.654199999997</v>
      </c>
      <c r="D31" s="345"/>
      <c r="E31" s="344">
        <f>E30*E34</f>
        <v>17794.786799999998</v>
      </c>
      <c r="F31" s="344"/>
      <c r="G31" s="344">
        <f>G30*G34</f>
        <v>11439.505799999999</v>
      </c>
      <c r="H31" s="346"/>
      <c r="I31" s="346"/>
      <c r="J31" s="346"/>
      <c r="K31" s="346"/>
      <c r="L31" s="347"/>
      <c r="M31" s="344">
        <f>C31+E31+G31</f>
        <v>63414.946799999991</v>
      </c>
      <c r="N31" s="348"/>
      <c r="O31" s="6"/>
    </row>
    <row r="32" spans="1:15" ht="15.6" x14ac:dyDescent="0.3">
      <c r="A32" s="340"/>
      <c r="B32" s="319" t="s">
        <v>16</v>
      </c>
      <c r="C32" s="349">
        <f>C30*C33</f>
        <v>30863.1708</v>
      </c>
      <c r="D32" s="350"/>
      <c r="E32" s="349">
        <f>E30*E33</f>
        <v>17794.786799999998</v>
      </c>
      <c r="F32" s="349"/>
      <c r="G32" s="349">
        <f>G30*G33</f>
        <v>11439.505799999999</v>
      </c>
      <c r="H32" s="351"/>
      <c r="I32" s="351"/>
      <c r="J32" s="351"/>
      <c r="K32" s="351"/>
      <c r="L32" s="352"/>
      <c r="M32" s="344">
        <f>C32+E32+G32</f>
        <v>60097.463399999993</v>
      </c>
      <c r="N32" s="348"/>
      <c r="O32" s="6"/>
    </row>
    <row r="33" spans="1:15" ht="15.6" x14ac:dyDescent="0.3">
      <c r="A33" s="340"/>
      <c r="B33" s="278" t="s">
        <v>174</v>
      </c>
      <c r="C33" s="371">
        <v>0.1336068</v>
      </c>
      <c r="D33" s="372"/>
      <c r="E33" s="371">
        <v>0.42368539999999999</v>
      </c>
      <c r="F33" s="371"/>
      <c r="G33" s="371">
        <v>0.42368539999999999</v>
      </c>
      <c r="H33" s="373"/>
      <c r="I33" s="373"/>
      <c r="J33" s="351"/>
      <c r="K33" s="351"/>
      <c r="L33" s="352"/>
      <c r="M33" s="351"/>
      <c r="N33" s="348"/>
      <c r="O33" s="6"/>
    </row>
    <row r="34" spans="1:15" ht="15.6" x14ac:dyDescent="0.3">
      <c r="A34" s="340"/>
      <c r="B34" s="278" t="s">
        <v>175</v>
      </c>
      <c r="C34" s="371">
        <v>0.14796819999999999</v>
      </c>
      <c r="D34" s="372"/>
      <c r="E34" s="371">
        <v>0.42368539999999999</v>
      </c>
      <c r="F34" s="371"/>
      <c r="G34" s="371">
        <v>0.42368539999999999</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9.7313E-3</v>
      </c>
      <c r="D36" s="258"/>
      <c r="E36" s="356">
        <v>2.0731300000000001E-2</v>
      </c>
      <c r="F36" s="304"/>
      <c r="G36" s="356">
        <v>2.5731299999999999E-2</v>
      </c>
      <c r="H36" s="304"/>
      <c r="I36" s="356"/>
      <c r="J36" s="304"/>
      <c r="K36" s="356"/>
      <c r="L36" s="321"/>
      <c r="M36" s="304">
        <f>SUMPRODUCT(C36:G36,C31:G31)/M31</f>
        <v>1.5704256955945912E-2</v>
      </c>
      <c r="N36" s="264"/>
      <c r="O36" s="6"/>
    </row>
    <row r="37" spans="1:15" ht="15.6" x14ac:dyDescent="0.3">
      <c r="A37" s="307"/>
      <c r="B37" s="258" t="s">
        <v>19</v>
      </c>
      <c r="C37" s="356">
        <v>9.8563000000000001E-3</v>
      </c>
      <c r="D37" s="258"/>
      <c r="E37" s="356">
        <v>2.0856300000000001E-2</v>
      </c>
      <c r="F37" s="304"/>
      <c r="G37" s="356">
        <v>2.5856299999999999E-2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0.94722259062247738</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42415</v>
      </c>
      <c r="N47" s="264"/>
      <c r="O47" s="6"/>
    </row>
    <row r="48" spans="1:15" ht="15.6" x14ac:dyDescent="0.3">
      <c r="A48" s="307"/>
      <c r="B48" s="258" t="s">
        <v>26</v>
      </c>
      <c r="C48" s="258"/>
      <c r="D48" s="258"/>
      <c r="E48" s="258"/>
      <c r="F48" s="258"/>
      <c r="G48" s="258"/>
      <c r="H48" s="258"/>
      <c r="I48" s="258"/>
      <c r="J48" s="258">
        <f>M48-K48+1</f>
        <v>91</v>
      </c>
      <c r="K48" s="360">
        <v>42233</v>
      </c>
      <c r="L48" s="361"/>
      <c r="M48" s="360">
        <v>42323</v>
      </c>
      <c r="N48" s="264"/>
      <c r="O48" s="6"/>
    </row>
    <row r="49" spans="1:15" ht="15.6" x14ac:dyDescent="0.3">
      <c r="A49" s="307"/>
      <c r="B49" s="258" t="s">
        <v>27</v>
      </c>
      <c r="C49" s="258"/>
      <c r="D49" s="258"/>
      <c r="E49" s="258"/>
      <c r="F49" s="258"/>
      <c r="G49" s="258"/>
      <c r="H49" s="258"/>
      <c r="I49" s="258"/>
      <c r="J49" s="258">
        <f>M49-K49+1</f>
        <v>91</v>
      </c>
      <c r="K49" s="360">
        <v>42324</v>
      </c>
      <c r="L49" s="361"/>
      <c r="M49" s="360">
        <v>42414</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42401</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275</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63415</v>
      </c>
      <c r="F58" s="256"/>
      <c r="G58" s="256">
        <v>3318</v>
      </c>
      <c r="H58" s="256"/>
      <c r="I58" s="256">
        <v>0</v>
      </c>
      <c r="J58" s="256"/>
      <c r="K58" s="256">
        <v>0</v>
      </c>
      <c r="L58" s="256"/>
      <c r="M58" s="260">
        <f>E58-G58+I58-K58</f>
        <v>60097</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63415</v>
      </c>
      <c r="F62" s="256"/>
      <c r="G62" s="256">
        <f>SUM(G58:G61)</f>
        <v>3318</v>
      </c>
      <c r="H62" s="256"/>
      <c r="I62" s="256">
        <f>SUM(I58:I61)</f>
        <v>0</v>
      </c>
      <c r="J62" s="256"/>
      <c r="K62" s="256">
        <f>SUM(K58:K61)</f>
        <v>0</v>
      </c>
      <c r="L62" s="256"/>
      <c r="M62" s="256">
        <f>SUM(M58:M61)</f>
        <v>60097</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f>K111-M72</f>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63415</v>
      </c>
      <c r="F75" s="256"/>
      <c r="G75" s="256"/>
      <c r="H75" s="256"/>
      <c r="I75" s="256"/>
      <c r="J75" s="256"/>
      <c r="K75" s="256"/>
      <c r="L75" s="256"/>
      <c r="M75" s="256">
        <f>SUM(M62:M74)</f>
        <v>60097</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42398</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3318-126</f>
        <v>3192</v>
      </c>
      <c r="L80" s="258"/>
      <c r="M80" s="260"/>
      <c r="N80" s="264"/>
      <c r="O80" s="6"/>
    </row>
    <row r="81" spans="1:16" ht="15.6" x14ac:dyDescent="0.3">
      <c r="A81" s="307"/>
      <c r="B81" s="258" t="s">
        <v>204</v>
      </c>
      <c r="C81" s="290"/>
      <c r="D81" s="325"/>
      <c r="E81" s="326"/>
      <c r="F81" s="258"/>
      <c r="G81" s="258"/>
      <c r="H81" s="258"/>
      <c r="I81" s="258"/>
      <c r="J81" s="258"/>
      <c r="K81" s="256"/>
      <c r="L81" s="258"/>
      <c r="M81" s="260">
        <f>3546+8-2057</f>
        <v>1497</v>
      </c>
      <c r="N81" s="264"/>
      <c r="O81" s="6"/>
    </row>
    <row r="82" spans="1:16" ht="15.6" x14ac:dyDescent="0.3">
      <c r="A82" s="307"/>
      <c r="B82" s="258" t="s">
        <v>205</v>
      </c>
      <c r="C82" s="290"/>
      <c r="D82" s="325"/>
      <c r="E82" s="326"/>
      <c r="F82" s="258"/>
      <c r="G82" s="258"/>
      <c r="H82" s="258"/>
      <c r="I82" s="258"/>
      <c r="J82" s="258"/>
      <c r="K82" s="256"/>
      <c r="L82" s="258"/>
      <c r="M82" s="260">
        <v>128</v>
      </c>
      <c r="N82" s="264"/>
      <c r="O82" s="6"/>
    </row>
    <row r="83" spans="1:16" ht="15.6" x14ac:dyDescent="0.3">
      <c r="A83" s="307"/>
      <c r="B83" s="258" t="s">
        <v>206</v>
      </c>
      <c r="C83" s="290"/>
      <c r="D83" s="325"/>
      <c r="E83" s="326"/>
      <c r="F83" s="258"/>
      <c r="G83" s="258"/>
      <c r="H83" s="258"/>
      <c r="I83" s="258"/>
      <c r="J83" s="258"/>
      <c r="K83" s="256"/>
      <c r="L83" s="258"/>
      <c r="M83" s="260">
        <v>25</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3192</v>
      </c>
      <c r="L85" s="258"/>
      <c r="M85" s="256">
        <f>SUM(M79:M84)</f>
        <v>1650</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3192</v>
      </c>
      <c r="L87" s="258"/>
      <c r="M87" s="256">
        <f>M85+M86</f>
        <v>1650</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-24-24-1</f>
        <v>-49</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-83</v>
      </c>
      <c r="N93" s="311"/>
      <c r="O93" s="6"/>
    </row>
    <row r="94" spans="1:16" ht="15.6" x14ac:dyDescent="0.3">
      <c r="A94" s="255">
        <v>5</v>
      </c>
      <c r="B94" s="258" t="s">
        <v>52</v>
      </c>
      <c r="C94" s="258"/>
      <c r="D94" s="258"/>
      <c r="E94" s="258"/>
      <c r="F94" s="258"/>
      <c r="G94" s="258"/>
      <c r="H94" s="258"/>
      <c r="I94" s="258"/>
      <c r="J94" s="258"/>
      <c r="K94" s="258"/>
      <c r="L94" s="258"/>
      <c r="M94" s="260">
        <v>-92</v>
      </c>
      <c r="N94" s="311"/>
      <c r="O94" s="6"/>
    </row>
    <row r="95" spans="1:16" ht="15.6" x14ac:dyDescent="0.3">
      <c r="A95" s="255">
        <v>6</v>
      </c>
      <c r="B95" s="258" t="s">
        <v>172</v>
      </c>
      <c r="C95" s="258"/>
      <c r="D95" s="258"/>
      <c r="E95" s="258"/>
      <c r="F95" s="258"/>
      <c r="G95" s="258"/>
      <c r="H95" s="258"/>
      <c r="I95" s="258"/>
      <c r="J95" s="258"/>
      <c r="K95" s="258"/>
      <c r="L95" s="258"/>
      <c r="M95" s="260">
        <v>-73</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126</v>
      </c>
      <c r="L97" s="258"/>
      <c r="M97" s="260">
        <v>-126</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-24</v>
      </c>
      <c r="N101" s="311"/>
      <c r="O101" s="6"/>
    </row>
    <row r="102" spans="1:16" ht="15.6" x14ac:dyDescent="0.3">
      <c r="A102" s="255">
        <v>13</v>
      </c>
      <c r="B102" s="258" t="s">
        <v>195</v>
      </c>
      <c r="C102" s="258"/>
      <c r="D102" s="258"/>
      <c r="E102" s="258"/>
      <c r="F102" s="258"/>
      <c r="G102" s="258"/>
      <c r="H102" s="258"/>
      <c r="I102" s="258"/>
      <c r="J102" s="258"/>
      <c r="K102" s="258"/>
      <c r="L102" s="258"/>
      <c r="M102" s="260">
        <f>-M87-SUM(M89:M101)</f>
        <v>-1194</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-3318</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+K105+K106+K107+K108+K109</f>
        <v>-3318</v>
      </c>
      <c r="L110" s="256"/>
      <c r="M110" s="256">
        <f>SUM(M88:M109)</f>
        <v>-1650</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JANUARY 2016</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-51</v>
      </c>
      <c r="N139" s="264"/>
      <c r="O139" s="6"/>
    </row>
    <row r="140" spans="1:15" ht="15.6" x14ac:dyDescent="0.3">
      <c r="A140" s="307"/>
      <c r="B140" s="258" t="s">
        <v>180</v>
      </c>
      <c r="C140" s="258"/>
      <c r="D140" s="258"/>
      <c r="E140" s="258"/>
      <c r="F140" s="258"/>
      <c r="G140" s="258"/>
      <c r="H140" s="258"/>
      <c r="I140" s="258"/>
      <c r="J140" s="258"/>
      <c r="K140" s="258"/>
      <c r="L140" s="258"/>
      <c r="M140" s="260">
        <f>158+19</f>
        <v>177</v>
      </c>
      <c r="N140" s="264"/>
      <c r="O140" s="6"/>
    </row>
    <row r="141" spans="1:15" ht="15.6" x14ac:dyDescent="0.3">
      <c r="A141" s="307"/>
      <c r="B141" s="258" t="s">
        <v>77</v>
      </c>
      <c r="C141" s="258"/>
      <c r="D141" s="258"/>
      <c r="E141" s="258"/>
      <c r="F141" s="258"/>
      <c r="G141" s="258"/>
      <c r="H141" s="258"/>
      <c r="I141" s="258"/>
      <c r="J141" s="258"/>
      <c r="K141" s="258"/>
      <c r="L141" s="258"/>
      <c r="M141" s="260">
        <f>M139+M138+M140</f>
        <v>126</v>
      </c>
      <c r="N141" s="264"/>
      <c r="O141" s="6"/>
    </row>
    <row r="142" spans="1:15" ht="15.6" x14ac:dyDescent="0.3">
      <c r="A142" s="307"/>
      <c r="B142" s="258" t="s">
        <v>183</v>
      </c>
      <c r="C142" s="258"/>
      <c r="D142" s="258"/>
      <c r="E142" s="258"/>
      <c r="F142" s="258"/>
      <c r="G142" s="258"/>
      <c r="H142" s="258"/>
      <c r="I142" s="303"/>
      <c r="J142" s="258"/>
      <c r="K142" s="258"/>
      <c r="L142" s="258"/>
      <c r="M142" s="260">
        <f>M97</f>
        <v>-126</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60097</v>
      </c>
      <c r="N148" s="318"/>
      <c r="O148" s="6"/>
      <c r="P148" s="117"/>
    </row>
    <row r="149" spans="1:16" ht="15.6" x14ac:dyDescent="0.3">
      <c r="A149" s="307"/>
      <c r="B149" s="258" t="s">
        <v>80</v>
      </c>
      <c r="C149" s="319"/>
      <c r="D149" s="319"/>
      <c r="E149" s="258"/>
      <c r="F149" s="258"/>
      <c r="G149" s="258"/>
      <c r="H149" s="258"/>
      <c r="I149" s="258"/>
      <c r="J149" s="258"/>
      <c r="K149" s="258"/>
      <c r="L149" s="258"/>
      <c r="M149" s="260">
        <f>M75</f>
        <v>60097</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+'Oct 15'!I156</f>
        <v>7636</v>
      </c>
      <c r="J154" s="258"/>
      <c r="K154" s="260">
        <f>+'Oct 15'!K156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19.265060240963855</v>
      </c>
      <c r="N161" s="264" t="s">
        <v>145</v>
      </c>
      <c r="O161" s="6"/>
    </row>
    <row r="162" spans="1:15" ht="15.6" x14ac:dyDescent="0.3">
      <c r="A162" s="307"/>
      <c r="B162" s="258" t="s">
        <v>89</v>
      </c>
      <c r="C162" s="258"/>
      <c r="D162" s="258"/>
      <c r="E162" s="258"/>
      <c r="F162" s="258"/>
      <c r="G162" s="258"/>
      <c r="H162" s="258"/>
      <c r="I162" s="258"/>
      <c r="J162" s="258"/>
      <c r="K162" s="258"/>
      <c r="L162" s="258"/>
      <c r="M162" s="309">
        <v>3.73</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16.478260869565219</v>
      </c>
      <c r="N163" s="264" t="s">
        <v>145</v>
      </c>
      <c r="O163" s="6"/>
    </row>
    <row r="164" spans="1:15" ht="15.6" x14ac:dyDescent="0.3">
      <c r="A164" s="307"/>
      <c r="B164" s="258" t="s">
        <v>91</v>
      </c>
      <c r="C164" s="258"/>
      <c r="D164" s="258"/>
      <c r="E164" s="258"/>
      <c r="F164" s="258"/>
      <c r="G164" s="258"/>
      <c r="H164" s="258"/>
      <c r="I164" s="258"/>
      <c r="J164" s="258"/>
      <c r="K164" s="258"/>
      <c r="L164" s="258"/>
      <c r="M164" s="310">
        <v>9.9700000000000006</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19.506849315068493</v>
      </c>
      <c r="N165" s="264" t="s">
        <v>145</v>
      </c>
      <c r="O165" s="6"/>
    </row>
    <row r="166" spans="1:15" ht="15.6" x14ac:dyDescent="0.3">
      <c r="A166" s="307"/>
      <c r="B166" s="258" t="s">
        <v>182</v>
      </c>
      <c r="C166" s="258"/>
      <c r="D166" s="258"/>
      <c r="E166" s="258"/>
      <c r="F166" s="258"/>
      <c r="G166" s="258"/>
      <c r="H166" s="258"/>
      <c r="I166" s="258"/>
      <c r="J166" s="258"/>
      <c r="K166" s="258"/>
      <c r="L166" s="258"/>
      <c r="M166" s="310">
        <v>12.7</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JANUARY 2016</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42398</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9.5200000000000007E-2</v>
      </c>
      <c r="L176" s="258"/>
      <c r="M176" s="258"/>
      <c r="N176" s="264"/>
      <c r="O176" s="6"/>
    </row>
    <row r="177" spans="1:15" ht="15.6" x14ac:dyDescent="0.3">
      <c r="A177" s="301"/>
      <c r="B177" s="258" t="s">
        <v>97</v>
      </c>
      <c r="C177" s="302"/>
      <c r="D177" s="302"/>
      <c r="E177" s="302"/>
      <c r="F177" s="302"/>
      <c r="G177" s="302"/>
      <c r="H177" s="303"/>
      <c r="I177" s="303"/>
      <c r="J177" s="303"/>
      <c r="K177" s="304">
        <f>M36</f>
        <v>1.5704256955945912E-2</v>
      </c>
      <c r="L177" s="258"/>
      <c r="M177" s="258"/>
      <c r="N177" s="264"/>
      <c r="O177" s="6"/>
    </row>
    <row r="178" spans="1:15" ht="15.6" x14ac:dyDescent="0.3">
      <c r="A178" s="301"/>
      <c r="B178" s="258" t="s">
        <v>98</v>
      </c>
      <c r="C178" s="302"/>
      <c r="D178" s="302"/>
      <c r="E178" s="302"/>
      <c r="F178" s="302"/>
      <c r="G178" s="302"/>
      <c r="H178" s="303"/>
      <c r="I178" s="303"/>
      <c r="J178" s="303"/>
      <c r="K178" s="304">
        <f>K176-K177</f>
        <v>7.9495743044054101E-2</v>
      </c>
      <c r="L178" s="258"/>
      <c r="M178" s="258"/>
      <c r="N178" s="264"/>
      <c r="O178" s="6"/>
    </row>
    <row r="179" spans="1:15" ht="15.6" x14ac:dyDescent="0.3">
      <c r="A179" s="301"/>
      <c r="B179" s="258" t="s">
        <v>211</v>
      </c>
      <c r="C179" s="302"/>
      <c r="D179" s="302"/>
      <c r="E179" s="302"/>
      <c r="F179" s="302"/>
      <c r="G179" s="302"/>
      <c r="H179" s="303"/>
      <c r="I179" s="303"/>
      <c r="J179" s="303"/>
      <c r="K179" s="304">
        <f>(+M87+M89)/E58</f>
        <v>2.6019080659150044E-2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10.96</v>
      </c>
      <c r="L184" s="258" t="s">
        <v>139</v>
      </c>
      <c r="M184" s="258"/>
      <c r="N184" s="264"/>
      <c r="O184" s="6"/>
    </row>
    <row r="185" spans="1:15" ht="15.6" x14ac:dyDescent="0.3">
      <c r="A185" s="301"/>
      <c r="B185" s="258" t="s">
        <v>103</v>
      </c>
      <c r="C185" s="302"/>
      <c r="D185" s="302"/>
      <c r="E185" s="302"/>
      <c r="F185" s="302"/>
      <c r="G185" s="302"/>
      <c r="H185" s="303"/>
      <c r="I185" s="303"/>
      <c r="J185" s="303"/>
      <c r="K185" s="304">
        <f>K80/E58</f>
        <v>5.0335094220610263E-2</v>
      </c>
      <c r="L185" s="258"/>
      <c r="M185" s="258"/>
      <c r="N185" s="264"/>
      <c r="O185" s="6"/>
    </row>
    <row r="186" spans="1:15" ht="15.6" x14ac:dyDescent="0.3">
      <c r="A186" s="301"/>
      <c r="B186" s="258" t="s">
        <v>104</v>
      </c>
      <c r="C186" s="302"/>
      <c r="D186" s="302"/>
      <c r="E186" s="302"/>
      <c r="F186" s="302"/>
      <c r="G186" s="302"/>
      <c r="H186" s="303"/>
      <c r="I186" s="303"/>
      <c r="J186" s="303"/>
      <c r="K186" s="304">
        <v>0.2268</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400</v>
      </c>
      <c r="K189" s="369">
        <v>8441</v>
      </c>
      <c r="L189" s="217"/>
      <c r="M189" s="229"/>
      <c r="N189" s="230"/>
      <c r="O189" s="6"/>
    </row>
    <row r="190" spans="1:15" ht="15.6" x14ac:dyDescent="0.3">
      <c r="A190" s="275"/>
      <c r="B190" s="258" t="s">
        <v>196</v>
      </c>
      <c r="C190" s="256"/>
      <c r="D190" s="256"/>
      <c r="E190" s="256"/>
      <c r="F190" s="256"/>
      <c r="G190" s="258"/>
      <c r="H190" s="258"/>
      <c r="I190" s="258"/>
      <c r="J190" s="377">
        <v>1</v>
      </c>
      <c r="K190" s="375">
        <v>19</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126</v>
      </c>
      <c r="L194" s="258"/>
      <c r="M194" s="281"/>
      <c r="N194" s="286"/>
      <c r="O194" s="6"/>
    </row>
    <row r="195" spans="1:15" ht="15.6" x14ac:dyDescent="0.3">
      <c r="A195" s="275"/>
      <c r="B195" s="258" t="s">
        <v>111</v>
      </c>
      <c r="C195" s="256"/>
      <c r="D195" s="256"/>
      <c r="E195" s="256"/>
      <c r="F195" s="256"/>
      <c r="G195" s="256"/>
      <c r="H195" s="258"/>
      <c r="I195" s="258"/>
      <c r="J195" s="258"/>
      <c r="K195" s="375">
        <f>'Oct 15'!K195+'Jan 16'!K194</f>
        <v>37304</v>
      </c>
      <c r="L195" s="258"/>
      <c r="M195" s="281"/>
      <c r="N195" s="286"/>
      <c r="O195" s="6"/>
    </row>
    <row r="196" spans="1:15" ht="15.6" x14ac:dyDescent="0.3">
      <c r="A196" s="275"/>
      <c r="B196" s="258" t="s">
        <v>112</v>
      </c>
      <c r="C196" s="256"/>
      <c r="D196" s="256"/>
      <c r="E196" s="256"/>
      <c r="F196" s="256"/>
      <c r="G196" s="256"/>
      <c r="H196" s="258"/>
      <c r="I196" s="258"/>
      <c r="J196" s="258"/>
      <c r="K196" s="375">
        <f>'Oct 15'!K196+572</f>
        <v>14909</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2</v>
      </c>
      <c r="L198" s="258"/>
      <c r="M198" s="261"/>
      <c r="N198" s="286"/>
      <c r="O198" s="6"/>
    </row>
    <row r="199" spans="1:15" ht="15.6" x14ac:dyDescent="0.3">
      <c r="A199" s="275"/>
      <c r="B199" s="258" t="s">
        <v>113</v>
      </c>
      <c r="C199" s="256"/>
      <c r="D199" s="256"/>
      <c r="E199" s="290"/>
      <c r="F199" s="290"/>
      <c r="G199" s="291"/>
      <c r="H199" s="258"/>
      <c r="I199" s="258"/>
      <c r="J199" s="258"/>
      <c r="K199" s="376">
        <v>38.26</v>
      </c>
      <c r="L199" s="258"/>
      <c r="M199" s="261"/>
      <c r="N199" s="286"/>
      <c r="O199" s="6"/>
    </row>
    <row r="200" spans="1:15" ht="15.6" x14ac:dyDescent="0.3">
      <c r="A200" s="275"/>
      <c r="B200" s="258" t="s">
        <v>114</v>
      </c>
      <c r="C200" s="256"/>
      <c r="D200" s="256"/>
      <c r="E200" s="290"/>
      <c r="F200" s="290"/>
      <c r="G200" s="291"/>
      <c r="H200" s="258"/>
      <c r="I200" s="258"/>
      <c r="J200" s="258"/>
      <c r="K200" s="376">
        <v>11.1</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2683</v>
      </c>
      <c r="J205" s="232">
        <f>I205/I213</f>
        <v>0.8702562439182614</v>
      </c>
      <c r="K205" s="221">
        <v>51656</v>
      </c>
      <c r="L205" s="232">
        <f>K205/K213</f>
        <v>0.85954373762417424</v>
      </c>
      <c r="M205" s="228"/>
      <c r="N205" s="218"/>
      <c r="O205" s="6"/>
    </row>
    <row r="206" spans="1:15" ht="15.6" x14ac:dyDescent="0.3">
      <c r="A206" s="255"/>
      <c r="B206" s="256" t="s">
        <v>117</v>
      </c>
      <c r="C206" s="257"/>
      <c r="D206" s="257"/>
      <c r="E206" s="256"/>
      <c r="F206" s="257"/>
      <c r="G206" s="258"/>
      <c r="H206" s="259"/>
      <c r="I206" s="256">
        <v>72</v>
      </c>
      <c r="J206" s="259">
        <f>I206/I213</f>
        <v>2.3353876094712941E-2</v>
      </c>
      <c r="K206" s="260">
        <v>1274</v>
      </c>
      <c r="L206" s="259">
        <f>K206/K213</f>
        <v>2.1199061517213836E-2</v>
      </c>
      <c r="M206" s="261"/>
      <c r="N206" s="263"/>
      <c r="O206" s="6"/>
    </row>
    <row r="207" spans="1:15" ht="15.6" x14ac:dyDescent="0.3">
      <c r="A207" s="255"/>
      <c r="B207" s="256" t="s">
        <v>118</v>
      </c>
      <c r="C207" s="257"/>
      <c r="D207" s="257"/>
      <c r="E207" s="256"/>
      <c r="F207" s="257"/>
      <c r="G207" s="256"/>
      <c r="H207" s="259"/>
      <c r="I207" s="256">
        <v>44</v>
      </c>
      <c r="J207" s="259">
        <f>I207/I213</f>
        <v>1.4271813168991242E-2</v>
      </c>
      <c r="K207" s="260">
        <v>911</v>
      </c>
      <c r="L207" s="259">
        <f>K207/K213</f>
        <v>1.5158826563721983E-2</v>
      </c>
      <c r="M207" s="374"/>
      <c r="N207" s="263"/>
      <c r="O207" s="6"/>
    </row>
    <row r="208" spans="1:15" ht="15.6" x14ac:dyDescent="0.3">
      <c r="A208" s="255"/>
      <c r="B208" s="256" t="s">
        <v>167</v>
      </c>
      <c r="C208" s="257"/>
      <c r="D208" s="257"/>
      <c r="E208" s="256"/>
      <c r="F208" s="257"/>
      <c r="G208" s="256"/>
      <c r="H208" s="259"/>
      <c r="I208" s="256">
        <v>63</v>
      </c>
      <c r="J208" s="259">
        <f>I208/I213</f>
        <v>2.0434641582873826E-2</v>
      </c>
      <c r="K208" s="260">
        <v>1373</v>
      </c>
      <c r="L208" s="259">
        <f>K208/K213</f>
        <v>2.2846398322711615E-2</v>
      </c>
      <c r="M208" s="374"/>
      <c r="N208" s="263"/>
      <c r="O208" s="6"/>
    </row>
    <row r="209" spans="1:15" ht="15.6" x14ac:dyDescent="0.3">
      <c r="A209" s="255"/>
      <c r="B209" s="256" t="s">
        <v>168</v>
      </c>
      <c r="C209" s="257"/>
      <c r="D209" s="257"/>
      <c r="E209" s="256"/>
      <c r="F209" s="257"/>
      <c r="G209" s="258"/>
      <c r="H209" s="259"/>
      <c r="I209" s="256">
        <v>35</v>
      </c>
      <c r="J209" s="259">
        <f>I209/I213</f>
        <v>1.1352578657152125E-2</v>
      </c>
      <c r="K209" s="260">
        <v>883</v>
      </c>
      <c r="L209" s="259">
        <f>K209/K213</f>
        <v>1.4692913123783216E-2</v>
      </c>
      <c r="M209" s="374"/>
      <c r="N209" s="263"/>
      <c r="O209" s="6"/>
    </row>
    <row r="210" spans="1:15" ht="15.6" x14ac:dyDescent="0.3">
      <c r="A210" s="255"/>
      <c r="B210" s="256" t="s">
        <v>169</v>
      </c>
      <c r="C210" s="257"/>
      <c r="D210" s="257"/>
      <c r="E210" s="256"/>
      <c r="F210" s="257"/>
      <c r="G210" s="258"/>
      <c r="H210" s="259"/>
      <c r="I210" s="256">
        <v>33</v>
      </c>
      <c r="J210" s="259">
        <f>I210/I213</f>
        <v>1.0703859876743431E-2</v>
      </c>
      <c r="K210" s="260">
        <v>675</v>
      </c>
      <c r="L210" s="259">
        <f>K210/K213</f>
        <v>1.1231841855666672E-2</v>
      </c>
      <c r="M210" s="374"/>
      <c r="N210" s="262"/>
      <c r="O210" s="6"/>
    </row>
    <row r="211" spans="1:15" ht="15.6" x14ac:dyDescent="0.3">
      <c r="A211" s="255"/>
      <c r="B211" s="256" t="s">
        <v>176</v>
      </c>
      <c r="C211" s="257"/>
      <c r="D211" s="257"/>
      <c r="E211" s="256"/>
      <c r="F211" s="257"/>
      <c r="G211" s="258"/>
      <c r="H211" s="259"/>
      <c r="I211" s="256">
        <v>84</v>
      </c>
      <c r="J211" s="259">
        <f>I211/I213</f>
        <v>2.7246188777165097E-2</v>
      </c>
      <c r="K211" s="260">
        <v>1893</v>
      </c>
      <c r="L211" s="259">
        <f>K211/K213</f>
        <v>3.149907649300298E-2</v>
      </c>
      <c r="M211" s="261"/>
      <c r="N211" s="263"/>
      <c r="O211" s="6"/>
    </row>
    <row r="212" spans="1:15" ht="15.6" x14ac:dyDescent="0.3">
      <c r="A212" s="255"/>
      <c r="B212" s="256" t="s">
        <v>202</v>
      </c>
      <c r="C212" s="257"/>
      <c r="D212" s="257"/>
      <c r="E212" s="256"/>
      <c r="F212" s="257"/>
      <c r="G212" s="258"/>
      <c r="H212" s="259"/>
      <c r="I212" s="256">
        <v>69</v>
      </c>
      <c r="J212" s="259">
        <f>+I212/I213</f>
        <v>2.2380797924099902E-2</v>
      </c>
      <c r="K212" s="260">
        <v>1432</v>
      </c>
      <c r="L212" s="259">
        <f>+K212/K213</f>
        <v>2.3828144499725444E-2</v>
      </c>
      <c r="M212" s="261"/>
      <c r="N212" s="263"/>
      <c r="O212" s="6"/>
    </row>
    <row r="213" spans="1:15" ht="15.6" x14ac:dyDescent="0.3">
      <c r="A213" s="255"/>
      <c r="B213" s="258" t="s">
        <v>189</v>
      </c>
      <c r="C213" s="258"/>
      <c r="D213" s="258"/>
      <c r="E213" s="258"/>
      <c r="F213" s="258"/>
      <c r="G213" s="256"/>
      <c r="H213" s="258"/>
      <c r="I213" s="256">
        <f>SUM(I205:I212)</f>
        <v>3083</v>
      </c>
      <c r="J213" s="259">
        <f>SUM(J205:J212)</f>
        <v>0.99999999999999989</v>
      </c>
      <c r="K213" s="260">
        <f>SUM(K205:K212)</f>
        <v>60097</v>
      </c>
      <c r="L213" s="259">
        <f>SUM(L205:L212)</f>
        <v>1</v>
      </c>
      <c r="M213" s="258"/>
      <c r="N213" s="264"/>
      <c r="O213" s="6"/>
    </row>
    <row r="214" spans="1:15" ht="15.6" x14ac:dyDescent="0.3">
      <c r="A214" s="255"/>
      <c r="B214" s="256" t="s">
        <v>170</v>
      </c>
      <c r="C214" s="257"/>
      <c r="D214" s="257"/>
      <c r="E214" s="256"/>
      <c r="F214" s="257"/>
      <c r="G214" s="256"/>
      <c r="H214" s="259"/>
      <c r="I214" s="256">
        <v>295</v>
      </c>
      <c r="J214" s="259"/>
      <c r="K214" s="260">
        <v>8280</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1.3271999999999999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JANUARY 2016</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B00-000000000000}"/>
    <hyperlink ref="K202" r:id="rId2" xr:uid="{00000000-0004-0000-2B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89CB31"/>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179687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42510</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277</v>
      </c>
      <c r="F26" s="341"/>
      <c r="G26" s="341" t="s">
        <v>278</v>
      </c>
      <c r="H26" s="342"/>
      <c r="I26" s="342"/>
      <c r="J26" s="338"/>
      <c r="K26" s="338"/>
      <c r="L26" s="339"/>
      <c r="M26" s="339"/>
      <c r="N26" s="311"/>
      <c r="O26" s="6"/>
    </row>
    <row r="27" spans="1:15" ht="15.6" x14ac:dyDescent="0.3">
      <c r="A27" s="340"/>
      <c r="B27" s="319" t="s">
        <v>12</v>
      </c>
      <c r="C27" s="341" t="s">
        <v>254</v>
      </c>
      <c r="D27" s="341"/>
      <c r="E27" s="341" t="s">
        <v>272</v>
      </c>
      <c r="F27" s="341"/>
      <c r="G27" s="341" t="s">
        <v>273</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30863.1708</v>
      </c>
      <c r="D31" s="345"/>
      <c r="E31" s="344">
        <f>E30*E34</f>
        <v>17794.786799999998</v>
      </c>
      <c r="F31" s="344"/>
      <c r="G31" s="344">
        <f>G30*G34</f>
        <v>11439.505799999999</v>
      </c>
      <c r="H31" s="346"/>
      <c r="I31" s="346"/>
      <c r="J31" s="346"/>
      <c r="K31" s="346"/>
      <c r="L31" s="347"/>
      <c r="M31" s="344">
        <f>C31+E31+G31</f>
        <v>60097.463399999993</v>
      </c>
      <c r="N31" s="348"/>
      <c r="O31" s="6"/>
    </row>
    <row r="32" spans="1:15" ht="15.6" x14ac:dyDescent="0.3">
      <c r="A32" s="340"/>
      <c r="B32" s="319" t="s">
        <v>16</v>
      </c>
      <c r="C32" s="349">
        <f>C30*C33</f>
        <v>30863.1708</v>
      </c>
      <c r="D32" s="350"/>
      <c r="E32" s="349">
        <f>E30*E33</f>
        <v>16163.750400000001</v>
      </c>
      <c r="F32" s="349"/>
      <c r="G32" s="349">
        <f>G30*G33</f>
        <v>10390.987800000001</v>
      </c>
      <c r="H32" s="351"/>
      <c r="I32" s="351"/>
      <c r="J32" s="351"/>
      <c r="K32" s="351"/>
      <c r="L32" s="352"/>
      <c r="M32" s="344">
        <f>C32+E32+G32</f>
        <v>57417.909</v>
      </c>
      <c r="N32" s="348"/>
      <c r="O32" s="6"/>
    </row>
    <row r="33" spans="1:15" ht="15.6" x14ac:dyDescent="0.3">
      <c r="A33" s="340"/>
      <c r="B33" s="278" t="s">
        <v>174</v>
      </c>
      <c r="C33" s="371">
        <v>0.1336068</v>
      </c>
      <c r="D33" s="372"/>
      <c r="E33" s="371">
        <v>0.3848512</v>
      </c>
      <c r="F33" s="371"/>
      <c r="G33" s="371">
        <v>0.38485140000000001</v>
      </c>
      <c r="H33" s="373"/>
      <c r="I33" s="373"/>
      <c r="J33" s="351"/>
      <c r="K33" s="351"/>
      <c r="L33" s="352"/>
      <c r="M33" s="351"/>
      <c r="N33" s="348"/>
      <c r="O33" s="6"/>
    </row>
    <row r="34" spans="1:15" ht="15.6" x14ac:dyDescent="0.3">
      <c r="A34" s="340"/>
      <c r="B34" s="278" t="s">
        <v>175</v>
      </c>
      <c r="C34" s="371">
        <v>0.1336068</v>
      </c>
      <c r="D34" s="372"/>
      <c r="E34" s="371">
        <v>0.42368539999999999</v>
      </c>
      <c r="F34" s="371"/>
      <c r="G34" s="371">
        <v>0.42368539999999999</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9.9287999999999998E-3</v>
      </c>
      <c r="D36" s="258"/>
      <c r="E36" s="356">
        <v>2.0928800000000001E-2</v>
      </c>
      <c r="F36" s="304"/>
      <c r="G36" s="356">
        <v>2.5928799999999998E-2</v>
      </c>
      <c r="H36" s="304"/>
      <c r="I36" s="356"/>
      <c r="J36" s="304"/>
      <c r="K36" s="356"/>
      <c r="L36" s="321"/>
      <c r="M36" s="304">
        <f>SUMPRODUCT(C36:G36,C31:G31)/M31</f>
        <v>1.6231474458636135E-2</v>
      </c>
      <c r="N36" s="264"/>
      <c r="O36" s="6"/>
    </row>
    <row r="37" spans="1:15" ht="15.6" x14ac:dyDescent="0.3">
      <c r="A37" s="307"/>
      <c r="B37" s="258" t="s">
        <v>19</v>
      </c>
      <c r="C37" s="356">
        <v>9.7313E-3</v>
      </c>
      <c r="D37" s="258"/>
      <c r="E37" s="356">
        <v>2.0731300000000001E-2</v>
      </c>
      <c r="F37" s="304"/>
      <c r="G37" s="356">
        <v>2.5731299999999999E-2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0.86040213988641767</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42506</v>
      </c>
      <c r="N47" s="264"/>
      <c r="O47" s="6"/>
    </row>
    <row r="48" spans="1:15" ht="15.6" x14ac:dyDescent="0.3">
      <c r="A48" s="307"/>
      <c r="B48" s="258" t="s">
        <v>26</v>
      </c>
      <c r="C48" s="258"/>
      <c r="D48" s="258"/>
      <c r="E48" s="258"/>
      <c r="F48" s="258"/>
      <c r="G48" s="258"/>
      <c r="H48" s="258"/>
      <c r="I48" s="258"/>
      <c r="J48" s="258">
        <f>M48-K48+1</f>
        <v>91</v>
      </c>
      <c r="K48" s="360">
        <v>42324</v>
      </c>
      <c r="L48" s="361"/>
      <c r="M48" s="360">
        <v>42414</v>
      </c>
      <c r="N48" s="264"/>
      <c r="O48" s="6"/>
    </row>
    <row r="49" spans="1:15" ht="15.6" x14ac:dyDescent="0.3">
      <c r="A49" s="307"/>
      <c r="B49" s="258" t="s">
        <v>27</v>
      </c>
      <c r="C49" s="258"/>
      <c r="D49" s="258"/>
      <c r="E49" s="258"/>
      <c r="F49" s="258"/>
      <c r="G49" s="258"/>
      <c r="H49" s="258"/>
      <c r="I49" s="258"/>
      <c r="J49" s="258">
        <f>M49-K49+1</f>
        <v>91</v>
      </c>
      <c r="K49" s="360">
        <v>42415</v>
      </c>
      <c r="L49" s="361"/>
      <c r="M49" s="360">
        <v>42505</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42493</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276</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60097</v>
      </c>
      <c r="F58" s="256"/>
      <c r="G58" s="256">
        <v>2679</v>
      </c>
      <c r="H58" s="256"/>
      <c r="I58" s="256">
        <v>0</v>
      </c>
      <c r="J58" s="256"/>
      <c r="K58" s="256">
        <v>0</v>
      </c>
      <c r="L58" s="256"/>
      <c r="M58" s="260">
        <f>E58-G58+I58-K58</f>
        <v>57418</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60097</v>
      </c>
      <c r="F62" s="256"/>
      <c r="G62" s="256">
        <f>SUM(G58:G61)</f>
        <v>2679</v>
      </c>
      <c r="H62" s="256"/>
      <c r="I62" s="256">
        <f>SUM(I58:I61)</f>
        <v>0</v>
      </c>
      <c r="J62" s="256"/>
      <c r="K62" s="256">
        <f>SUM(K58:K61)</f>
        <v>0</v>
      </c>
      <c r="L62" s="256"/>
      <c r="M62" s="256">
        <f>SUM(M58:M61)</f>
        <v>57418</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60097</v>
      </c>
      <c r="F75" s="256"/>
      <c r="G75" s="256"/>
      <c r="H75" s="256"/>
      <c r="I75" s="256"/>
      <c r="J75" s="256"/>
      <c r="K75" s="256"/>
      <c r="L75" s="256"/>
      <c r="M75" s="256">
        <f>SUM(M62:M74)</f>
        <v>57418</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42489</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2679+45</f>
        <v>2724</v>
      </c>
      <c r="L80" s="258"/>
      <c r="M80" s="260"/>
      <c r="N80" s="264"/>
      <c r="O80" s="6"/>
    </row>
    <row r="81" spans="1:16" ht="15.6" x14ac:dyDescent="0.3">
      <c r="A81" s="307"/>
      <c r="B81" s="258" t="s">
        <v>204</v>
      </c>
      <c r="C81" s="290"/>
      <c r="D81" s="325"/>
      <c r="E81" s="326"/>
      <c r="F81" s="258"/>
      <c r="G81" s="258"/>
      <c r="H81" s="258"/>
      <c r="I81" s="258"/>
      <c r="J81" s="258"/>
      <c r="K81" s="256"/>
      <c r="L81" s="258"/>
      <c r="M81" s="260">
        <f>3176+7-1719</f>
        <v>1464</v>
      </c>
      <c r="N81" s="264"/>
      <c r="O81" s="6"/>
    </row>
    <row r="82" spans="1:16" ht="15.6" x14ac:dyDescent="0.3">
      <c r="A82" s="307"/>
      <c r="B82" s="258" t="s">
        <v>205</v>
      </c>
      <c r="C82" s="290"/>
      <c r="D82" s="325"/>
      <c r="E82" s="326"/>
      <c r="F82" s="258"/>
      <c r="G82" s="258"/>
      <c r="H82" s="258"/>
      <c r="I82" s="258"/>
      <c r="J82" s="258"/>
      <c r="K82" s="256"/>
      <c r="L82" s="258"/>
      <c r="M82" s="260">
        <v>81</v>
      </c>
      <c r="N82" s="264"/>
      <c r="O82" s="6"/>
    </row>
    <row r="83" spans="1:16" ht="15.6" x14ac:dyDescent="0.3">
      <c r="A83" s="307"/>
      <c r="B83" s="258" t="s">
        <v>206</v>
      </c>
      <c r="C83" s="290"/>
      <c r="D83" s="325"/>
      <c r="E83" s="326"/>
      <c r="F83" s="258"/>
      <c r="G83" s="258"/>
      <c r="H83" s="258"/>
      <c r="I83" s="258"/>
      <c r="J83" s="258"/>
      <c r="K83" s="256"/>
      <c r="L83" s="258"/>
      <c r="M83" s="260">
        <v>25</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2724</v>
      </c>
      <c r="L85" s="258"/>
      <c r="M85" s="256">
        <f>SUM(M79:M84)</f>
        <v>1570</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2724</v>
      </c>
      <c r="L87" s="258"/>
      <c r="M87" s="256">
        <f>M85+M86</f>
        <v>1570</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-22-27-1</f>
        <v>-50</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-76</v>
      </c>
      <c r="N93" s="311"/>
      <c r="O93" s="6"/>
    </row>
    <row r="94" spans="1:16" ht="15.6" x14ac:dyDescent="0.3">
      <c r="A94" s="255">
        <v>5</v>
      </c>
      <c r="B94" s="258" t="s">
        <v>52</v>
      </c>
      <c r="C94" s="258"/>
      <c r="D94" s="258"/>
      <c r="E94" s="258"/>
      <c r="F94" s="258"/>
      <c r="G94" s="258"/>
      <c r="H94" s="258"/>
      <c r="I94" s="258"/>
      <c r="J94" s="258"/>
      <c r="K94" s="258"/>
      <c r="L94" s="258"/>
      <c r="M94" s="260">
        <v>-92</v>
      </c>
      <c r="N94" s="311"/>
      <c r="O94" s="6"/>
    </row>
    <row r="95" spans="1:16" ht="15.6" x14ac:dyDescent="0.3">
      <c r="A95" s="255">
        <v>6</v>
      </c>
      <c r="B95" s="258" t="s">
        <v>172</v>
      </c>
      <c r="C95" s="258"/>
      <c r="D95" s="258"/>
      <c r="E95" s="258"/>
      <c r="F95" s="258"/>
      <c r="G95" s="258"/>
      <c r="H95" s="258"/>
      <c r="I95" s="258"/>
      <c r="J95" s="258"/>
      <c r="K95" s="258"/>
      <c r="L95" s="258"/>
      <c r="M95" s="260">
        <v>-74</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-45</v>
      </c>
      <c r="L97" s="258"/>
      <c r="M97" s="260">
        <v>45</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-22</v>
      </c>
      <c r="N101" s="311"/>
      <c r="O101" s="6"/>
    </row>
    <row r="102" spans="1:16" ht="15.6" x14ac:dyDescent="0.3">
      <c r="A102" s="255">
        <v>13</v>
      </c>
      <c r="B102" s="258" t="s">
        <v>195</v>
      </c>
      <c r="C102" s="258"/>
      <c r="D102" s="258"/>
      <c r="E102" s="258"/>
      <c r="F102" s="258"/>
      <c r="G102" s="258"/>
      <c r="H102" s="258"/>
      <c r="I102" s="258"/>
      <c r="J102" s="258"/>
      <c r="K102" s="258"/>
      <c r="L102" s="258"/>
      <c r="M102" s="260">
        <f>-M87-SUM(M89:M101)</f>
        <v>-1292</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0</v>
      </c>
      <c r="L107" s="256"/>
      <c r="M107" s="260"/>
      <c r="N107" s="311"/>
      <c r="O107" s="6"/>
    </row>
    <row r="108" spans="1:16" ht="15.6" x14ac:dyDescent="0.3">
      <c r="A108" s="307"/>
      <c r="B108" s="258" t="s">
        <v>59</v>
      </c>
      <c r="C108" s="258"/>
      <c r="D108" s="258"/>
      <c r="E108" s="258"/>
      <c r="F108" s="258"/>
      <c r="G108" s="258"/>
      <c r="H108" s="258"/>
      <c r="I108" s="258"/>
      <c r="J108" s="258"/>
      <c r="K108" s="256">
        <v>-1631</v>
      </c>
      <c r="L108" s="256"/>
      <c r="M108" s="260"/>
      <c r="N108" s="311"/>
      <c r="O108" s="6"/>
    </row>
    <row r="109" spans="1:16" ht="15.6" x14ac:dyDescent="0.3">
      <c r="A109" s="307"/>
      <c r="B109" s="258" t="s">
        <v>186</v>
      </c>
      <c r="C109" s="258"/>
      <c r="D109" s="258"/>
      <c r="E109" s="258"/>
      <c r="F109" s="258"/>
      <c r="G109" s="258"/>
      <c r="H109" s="258"/>
      <c r="I109" s="258"/>
      <c r="J109" s="258"/>
      <c r="K109" s="256">
        <v>-1048</v>
      </c>
      <c r="L109" s="256"/>
      <c r="M109" s="260"/>
      <c r="N109" s="311"/>
      <c r="O109" s="6"/>
    </row>
    <row r="110" spans="1:16" ht="15.6" x14ac:dyDescent="0.3">
      <c r="A110" s="307"/>
      <c r="B110" s="258" t="s">
        <v>60</v>
      </c>
      <c r="C110" s="258"/>
      <c r="D110" s="258"/>
      <c r="E110" s="258"/>
      <c r="F110" s="258"/>
      <c r="G110" s="258"/>
      <c r="H110" s="258"/>
      <c r="I110" s="258"/>
      <c r="J110" s="258"/>
      <c r="K110" s="256">
        <f>+K105+K106+K107+K108+K109</f>
        <v>-2679</v>
      </c>
      <c r="L110" s="256"/>
      <c r="M110" s="256">
        <f>SUM(M88:M109)</f>
        <v>-1570</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APRIL 2016</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-125</v>
      </c>
      <c r="N139" s="264"/>
      <c r="O139" s="6"/>
    </row>
    <row r="140" spans="1:15" ht="15.6" x14ac:dyDescent="0.3">
      <c r="A140" s="307"/>
      <c r="B140" s="258" t="s">
        <v>180</v>
      </c>
      <c r="C140" s="258"/>
      <c r="D140" s="258"/>
      <c r="E140" s="258"/>
      <c r="F140" s="258"/>
      <c r="G140" s="258"/>
      <c r="H140" s="258"/>
      <c r="I140" s="258"/>
      <c r="J140" s="258"/>
      <c r="K140" s="258"/>
      <c r="L140" s="258"/>
      <c r="M140" s="260">
        <f>57+23</f>
        <v>80</v>
      </c>
      <c r="N140" s="264"/>
      <c r="O140" s="6"/>
    </row>
    <row r="141" spans="1:15" ht="15.6" x14ac:dyDescent="0.3">
      <c r="A141" s="307"/>
      <c r="B141" s="258" t="s">
        <v>77</v>
      </c>
      <c r="C141" s="258"/>
      <c r="D141" s="258"/>
      <c r="E141" s="258"/>
      <c r="F141" s="258"/>
      <c r="G141" s="258"/>
      <c r="H141" s="258"/>
      <c r="I141" s="258"/>
      <c r="J141" s="258"/>
      <c r="K141" s="258"/>
      <c r="L141" s="258"/>
      <c r="M141" s="260">
        <f>M139+M138+M140</f>
        <v>-45</v>
      </c>
      <c r="N141" s="264"/>
      <c r="O141" s="6"/>
    </row>
    <row r="142" spans="1:15" ht="15.6" x14ac:dyDescent="0.3">
      <c r="A142" s="307"/>
      <c r="B142" s="258" t="s">
        <v>183</v>
      </c>
      <c r="C142" s="258"/>
      <c r="D142" s="258"/>
      <c r="E142" s="258"/>
      <c r="F142" s="258"/>
      <c r="G142" s="258"/>
      <c r="H142" s="258"/>
      <c r="I142" s="303"/>
      <c r="J142" s="258"/>
      <c r="K142" s="258"/>
      <c r="L142" s="258"/>
      <c r="M142" s="260">
        <f>M97</f>
        <v>45</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57418</v>
      </c>
      <c r="N148" s="318"/>
      <c r="O148" s="6"/>
      <c r="P148" s="117"/>
    </row>
    <row r="149" spans="1:16" ht="15.6" x14ac:dyDescent="0.3">
      <c r="A149" s="307"/>
      <c r="B149" s="258" t="s">
        <v>80</v>
      </c>
      <c r="C149" s="319"/>
      <c r="D149" s="319"/>
      <c r="E149" s="258"/>
      <c r="F149" s="258"/>
      <c r="G149" s="258"/>
      <c r="H149" s="258"/>
      <c r="I149" s="258"/>
      <c r="J149" s="258"/>
      <c r="K149" s="258"/>
      <c r="L149" s="258"/>
      <c r="M149" s="260">
        <f>M75</f>
        <v>57418</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+'Jan 16'!I156</f>
        <v>7636</v>
      </c>
      <c r="J154" s="258"/>
      <c r="K154" s="260">
        <f>+'Oct 15'!K156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19.973684210526315</v>
      </c>
      <c r="N161" s="264" t="s">
        <v>145</v>
      </c>
      <c r="O161" s="6"/>
    </row>
    <row r="162" spans="1:15" ht="15.6" x14ac:dyDescent="0.3">
      <c r="A162" s="307"/>
      <c r="B162" s="258" t="s">
        <v>89</v>
      </c>
      <c r="C162" s="258"/>
      <c r="D162" s="258"/>
      <c r="E162" s="258"/>
      <c r="F162" s="258"/>
      <c r="G162" s="258"/>
      <c r="H162" s="258"/>
      <c r="I162" s="258"/>
      <c r="J162" s="258"/>
      <c r="K162" s="258"/>
      <c r="L162" s="258"/>
      <c r="M162" s="309">
        <v>3.75</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15.673913043478262</v>
      </c>
      <c r="N163" s="264" t="s">
        <v>145</v>
      </c>
      <c r="O163" s="6"/>
    </row>
    <row r="164" spans="1:15" ht="15.6" x14ac:dyDescent="0.3">
      <c r="A164" s="307"/>
      <c r="B164" s="258" t="s">
        <v>91</v>
      </c>
      <c r="C164" s="258"/>
      <c r="D164" s="258"/>
      <c r="E164" s="258"/>
      <c r="F164" s="258"/>
      <c r="G164" s="258"/>
      <c r="H164" s="258"/>
      <c r="I164" s="258"/>
      <c r="J164" s="258"/>
      <c r="K164" s="258"/>
      <c r="L164" s="258"/>
      <c r="M164" s="310">
        <v>10.01</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18.243243243243242</v>
      </c>
      <c r="N165" s="264" t="s">
        <v>145</v>
      </c>
      <c r="O165" s="6"/>
    </row>
    <row r="166" spans="1:15" ht="15.6" x14ac:dyDescent="0.3">
      <c r="A166" s="307"/>
      <c r="B166" s="258" t="s">
        <v>182</v>
      </c>
      <c r="C166" s="258"/>
      <c r="D166" s="258"/>
      <c r="E166" s="258"/>
      <c r="F166" s="258"/>
      <c r="G166" s="258"/>
      <c r="H166" s="258"/>
      <c r="I166" s="258"/>
      <c r="J166" s="258"/>
      <c r="K166" s="258"/>
      <c r="L166" s="258"/>
      <c r="M166" s="310">
        <v>12.74</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APRIL 2016</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42489</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9.5000000000000001E-2</v>
      </c>
      <c r="L176" s="258"/>
      <c r="M176" s="258"/>
      <c r="N176" s="264"/>
      <c r="O176" s="6"/>
    </row>
    <row r="177" spans="1:15" ht="15.6" x14ac:dyDescent="0.3">
      <c r="A177" s="301"/>
      <c r="B177" s="258" t="s">
        <v>97</v>
      </c>
      <c r="C177" s="302"/>
      <c r="D177" s="302"/>
      <c r="E177" s="302"/>
      <c r="F177" s="302"/>
      <c r="G177" s="302"/>
      <c r="H177" s="303"/>
      <c r="I177" s="303"/>
      <c r="J177" s="303"/>
      <c r="K177" s="304">
        <f>M36</f>
        <v>1.6231474458636135E-2</v>
      </c>
      <c r="L177" s="258"/>
      <c r="M177" s="258"/>
      <c r="N177" s="264"/>
      <c r="O177" s="6"/>
    </row>
    <row r="178" spans="1:15" ht="15.6" x14ac:dyDescent="0.3">
      <c r="A178" s="301"/>
      <c r="B178" s="258" t="s">
        <v>98</v>
      </c>
      <c r="C178" s="302"/>
      <c r="D178" s="302"/>
      <c r="E178" s="302"/>
      <c r="F178" s="302"/>
      <c r="G178" s="302"/>
      <c r="H178" s="303"/>
      <c r="I178" s="303"/>
      <c r="J178" s="303"/>
      <c r="K178" s="304">
        <f>K176-K177</f>
        <v>7.8768525541363862E-2</v>
      </c>
      <c r="L178" s="258"/>
      <c r="M178" s="258"/>
      <c r="N178" s="264"/>
      <c r="O178" s="6"/>
    </row>
    <row r="179" spans="1:15" ht="15.6" x14ac:dyDescent="0.3">
      <c r="A179" s="301"/>
      <c r="B179" s="258" t="s">
        <v>211</v>
      </c>
      <c r="C179" s="302"/>
      <c r="D179" s="302"/>
      <c r="E179" s="302"/>
      <c r="F179" s="302"/>
      <c r="G179" s="302"/>
      <c r="H179" s="303"/>
      <c r="I179" s="303"/>
      <c r="J179" s="303"/>
      <c r="K179" s="304">
        <f>(+M87+M89)/E58</f>
        <v>2.6124432167995076E-2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10.86</v>
      </c>
      <c r="L184" s="258" t="s">
        <v>139</v>
      </c>
      <c r="M184" s="258"/>
      <c r="N184" s="264"/>
      <c r="O184" s="6"/>
    </row>
    <row r="185" spans="1:15" ht="15.6" x14ac:dyDescent="0.3">
      <c r="A185" s="301"/>
      <c r="B185" s="258" t="s">
        <v>103</v>
      </c>
      <c r="C185" s="302"/>
      <c r="D185" s="302"/>
      <c r="E185" s="302"/>
      <c r="F185" s="302"/>
      <c r="G185" s="302"/>
      <c r="H185" s="303"/>
      <c r="I185" s="303"/>
      <c r="J185" s="303"/>
      <c r="K185" s="304">
        <f>K80/E58</f>
        <v>4.532672179975706E-2</v>
      </c>
      <c r="L185" s="258"/>
      <c r="M185" s="258"/>
      <c r="N185" s="264"/>
      <c r="O185" s="6"/>
    </row>
    <row r="186" spans="1:15" ht="15.6" x14ac:dyDescent="0.3">
      <c r="A186" s="301"/>
      <c r="B186" s="258" t="s">
        <v>104</v>
      </c>
      <c r="C186" s="302"/>
      <c r="D186" s="302"/>
      <c r="E186" s="302"/>
      <c r="F186" s="302"/>
      <c r="G186" s="302"/>
      <c r="H186" s="303"/>
      <c r="I186" s="303"/>
      <c r="J186" s="303"/>
      <c r="K186" s="304">
        <v>0.22550000000000001</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68">
        <v>378</v>
      </c>
      <c r="K189" s="369">
        <v>7765</v>
      </c>
      <c r="L189" s="217"/>
      <c r="M189" s="229"/>
      <c r="N189" s="230"/>
      <c r="O189" s="6"/>
    </row>
    <row r="190" spans="1:15" ht="15.6" x14ac:dyDescent="0.3">
      <c r="A190" s="275"/>
      <c r="B190" s="258" t="s">
        <v>196</v>
      </c>
      <c r="C190" s="256"/>
      <c r="D190" s="256"/>
      <c r="E190" s="256"/>
      <c r="F190" s="256"/>
      <c r="G190" s="258"/>
      <c r="H190" s="258"/>
      <c r="I190" s="258"/>
      <c r="J190" s="377">
        <v>1</v>
      </c>
      <c r="K190" s="375">
        <v>19</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-45</v>
      </c>
      <c r="L194" s="258"/>
      <c r="M194" s="281"/>
      <c r="N194" s="286"/>
      <c r="O194" s="6"/>
    </row>
    <row r="195" spans="1:15" ht="15.6" x14ac:dyDescent="0.3">
      <c r="A195" s="275"/>
      <c r="B195" s="258" t="s">
        <v>111</v>
      </c>
      <c r="C195" s="256"/>
      <c r="D195" s="256"/>
      <c r="E195" s="256"/>
      <c r="F195" s="256"/>
      <c r="G195" s="256"/>
      <c r="H195" s="258"/>
      <c r="I195" s="258"/>
      <c r="J195" s="258"/>
      <c r="K195" s="375">
        <f>'Jan 16'!K195+'April 16'!K194</f>
        <v>37259</v>
      </c>
      <c r="L195" s="258"/>
      <c r="M195" s="281"/>
      <c r="N195" s="286"/>
      <c r="O195" s="6"/>
    </row>
    <row r="196" spans="1:15" ht="15.6" x14ac:dyDescent="0.3">
      <c r="A196" s="275"/>
      <c r="B196" s="258" t="s">
        <v>112</v>
      </c>
      <c r="C196" s="256"/>
      <c r="D196" s="256"/>
      <c r="E196" s="256"/>
      <c r="F196" s="256"/>
      <c r="G196" s="256"/>
      <c r="H196" s="258"/>
      <c r="I196" s="258"/>
      <c r="J196" s="258"/>
      <c r="K196" s="375">
        <f>'Jan 16'!K196+307</f>
        <v>15216</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0</v>
      </c>
      <c r="L198" s="258"/>
      <c r="M198" s="261"/>
      <c r="N198" s="286"/>
      <c r="O198" s="6"/>
    </row>
    <row r="199" spans="1:15" ht="15.6" x14ac:dyDescent="0.3">
      <c r="A199" s="275"/>
      <c r="B199" s="258" t="s">
        <v>113</v>
      </c>
      <c r="C199" s="256"/>
      <c r="D199" s="256"/>
      <c r="E199" s="290"/>
      <c r="F199" s="290"/>
      <c r="G199" s="291"/>
      <c r="H199" s="258"/>
      <c r="I199" s="258"/>
      <c r="J199" s="258"/>
      <c r="K199" s="376">
        <v>0</v>
      </c>
      <c r="L199" s="258"/>
      <c r="M199" s="261"/>
      <c r="N199" s="286"/>
      <c r="O199" s="6"/>
    </row>
    <row r="200" spans="1:15" ht="15.6" x14ac:dyDescent="0.3">
      <c r="A200" s="275"/>
      <c r="B200" s="258" t="s">
        <v>114</v>
      </c>
      <c r="C200" s="256"/>
      <c r="D200" s="256"/>
      <c r="E200" s="290"/>
      <c r="F200" s="290"/>
      <c r="G200" s="291"/>
      <c r="H200" s="258"/>
      <c r="I200" s="258"/>
      <c r="J200" s="258"/>
      <c r="K200" s="376">
        <v>0</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2597</v>
      </c>
      <c r="J205" s="232">
        <f>I205/I213</f>
        <v>0.87294117647058822</v>
      </c>
      <c r="K205" s="221">
        <v>49653</v>
      </c>
      <c r="L205" s="232">
        <f>K205/K213</f>
        <v>0.86476366296283391</v>
      </c>
      <c r="M205" s="228"/>
      <c r="N205" s="218"/>
      <c r="O205" s="6"/>
    </row>
    <row r="206" spans="1:15" ht="15.6" x14ac:dyDescent="0.3">
      <c r="A206" s="255"/>
      <c r="B206" s="256" t="s">
        <v>117</v>
      </c>
      <c r="C206" s="257"/>
      <c r="D206" s="257"/>
      <c r="E206" s="256"/>
      <c r="F206" s="257"/>
      <c r="G206" s="258"/>
      <c r="H206" s="259"/>
      <c r="I206" s="256">
        <v>70</v>
      </c>
      <c r="J206" s="259">
        <f>I206/I213</f>
        <v>2.3529411764705882E-2</v>
      </c>
      <c r="K206" s="260">
        <v>1185</v>
      </c>
      <c r="L206" s="259">
        <f>K206/K213</f>
        <v>2.0638127416489602E-2</v>
      </c>
      <c r="M206" s="261"/>
      <c r="N206" s="263"/>
      <c r="O206" s="6"/>
    </row>
    <row r="207" spans="1:15" ht="15.6" x14ac:dyDescent="0.3">
      <c r="A207" s="255"/>
      <c r="B207" s="256" t="s">
        <v>118</v>
      </c>
      <c r="C207" s="257"/>
      <c r="D207" s="257"/>
      <c r="E207" s="256"/>
      <c r="F207" s="257"/>
      <c r="G207" s="256"/>
      <c r="H207" s="259"/>
      <c r="I207" s="256">
        <v>50</v>
      </c>
      <c r="J207" s="259">
        <f>I207/I213</f>
        <v>1.680672268907563E-2</v>
      </c>
      <c r="K207" s="260">
        <v>929</v>
      </c>
      <c r="L207" s="259">
        <f>K207/K213</f>
        <v>1.617959524887666E-2</v>
      </c>
      <c r="M207" s="374"/>
      <c r="N207" s="263"/>
      <c r="O207" s="6"/>
    </row>
    <row r="208" spans="1:15" ht="15.6" x14ac:dyDescent="0.3">
      <c r="A208" s="255"/>
      <c r="B208" s="256" t="s">
        <v>167</v>
      </c>
      <c r="C208" s="257"/>
      <c r="D208" s="257"/>
      <c r="E208" s="256"/>
      <c r="F208" s="257"/>
      <c r="G208" s="256"/>
      <c r="H208" s="259"/>
      <c r="I208" s="256">
        <v>59</v>
      </c>
      <c r="J208" s="259">
        <f>I208/I213</f>
        <v>1.9831932773109243E-2</v>
      </c>
      <c r="K208" s="260">
        <v>1163</v>
      </c>
      <c r="L208" s="259">
        <f>K208/K213</f>
        <v>2.0254972308335364E-2</v>
      </c>
      <c r="M208" s="374"/>
      <c r="N208" s="263"/>
      <c r="O208" s="6"/>
    </row>
    <row r="209" spans="1:15" ht="15.6" x14ac:dyDescent="0.3">
      <c r="A209" s="255"/>
      <c r="B209" s="256" t="s">
        <v>168</v>
      </c>
      <c r="C209" s="257"/>
      <c r="D209" s="257"/>
      <c r="E209" s="256"/>
      <c r="F209" s="257"/>
      <c r="G209" s="258"/>
      <c r="H209" s="259"/>
      <c r="I209" s="256">
        <v>33</v>
      </c>
      <c r="J209" s="259">
        <f>I209/I213</f>
        <v>1.1092436974789916E-2</v>
      </c>
      <c r="K209" s="260">
        <v>763</v>
      </c>
      <c r="L209" s="259">
        <f>K209/K213</f>
        <v>1.328851579644014E-2</v>
      </c>
      <c r="M209" s="374"/>
      <c r="N209" s="263"/>
      <c r="O209" s="6"/>
    </row>
    <row r="210" spans="1:15" ht="15.6" x14ac:dyDescent="0.3">
      <c r="A210" s="255"/>
      <c r="B210" s="256" t="s">
        <v>169</v>
      </c>
      <c r="C210" s="257"/>
      <c r="D210" s="257"/>
      <c r="E210" s="256"/>
      <c r="F210" s="257"/>
      <c r="G210" s="258"/>
      <c r="H210" s="259"/>
      <c r="I210" s="256">
        <v>24</v>
      </c>
      <c r="J210" s="259">
        <f>I210/I213</f>
        <v>8.0672268907563023E-3</v>
      </c>
      <c r="K210" s="260">
        <v>466</v>
      </c>
      <c r="L210" s="259">
        <f>K210/K213</f>
        <v>8.1159218363579359E-3</v>
      </c>
      <c r="M210" s="374"/>
      <c r="N210" s="262"/>
      <c r="O210" s="6"/>
    </row>
    <row r="211" spans="1:15" ht="15.6" x14ac:dyDescent="0.3">
      <c r="A211" s="255"/>
      <c r="B211" s="256" t="s">
        <v>176</v>
      </c>
      <c r="C211" s="257"/>
      <c r="D211" s="257"/>
      <c r="E211" s="256"/>
      <c r="F211" s="257"/>
      <c r="G211" s="258"/>
      <c r="H211" s="259"/>
      <c r="I211" s="256">
        <v>77</v>
      </c>
      <c r="J211" s="259">
        <f>I211/I213</f>
        <v>2.5882352941176471E-2</v>
      </c>
      <c r="K211" s="260">
        <v>1774</v>
      </c>
      <c r="L211" s="259">
        <f>K211/K213</f>
        <v>3.0896234630255322E-2</v>
      </c>
      <c r="M211" s="261"/>
      <c r="N211" s="263"/>
      <c r="O211" s="6"/>
    </row>
    <row r="212" spans="1:15" ht="15.6" x14ac:dyDescent="0.3">
      <c r="A212" s="255"/>
      <c r="B212" s="256" t="s">
        <v>202</v>
      </c>
      <c r="C212" s="257"/>
      <c r="D212" s="257"/>
      <c r="E212" s="256"/>
      <c r="F212" s="257"/>
      <c r="G212" s="258"/>
      <c r="H212" s="259"/>
      <c r="I212" s="256">
        <v>65</v>
      </c>
      <c r="J212" s="259">
        <f>+I212/I213</f>
        <v>2.1848739495798318E-2</v>
      </c>
      <c r="K212" s="260">
        <v>1485</v>
      </c>
      <c r="L212" s="259">
        <f>+K212/K213</f>
        <v>2.5862969800411022E-2</v>
      </c>
      <c r="M212" s="261"/>
      <c r="N212" s="263"/>
      <c r="O212" s="6"/>
    </row>
    <row r="213" spans="1:15" ht="15.6" x14ac:dyDescent="0.3">
      <c r="A213" s="255"/>
      <c r="B213" s="258" t="s">
        <v>189</v>
      </c>
      <c r="C213" s="258"/>
      <c r="D213" s="258"/>
      <c r="E213" s="258"/>
      <c r="F213" s="258"/>
      <c r="G213" s="256"/>
      <c r="H213" s="258"/>
      <c r="I213" s="256">
        <f>SUM(I205:I212)</f>
        <v>2975</v>
      </c>
      <c r="J213" s="259">
        <f>SUM(J205:J212)</f>
        <v>1</v>
      </c>
      <c r="K213" s="260">
        <f>SUM(K205:K212)</f>
        <v>57418</v>
      </c>
      <c r="L213" s="259">
        <f>SUM(L205:L212)</f>
        <v>1</v>
      </c>
      <c r="M213" s="258"/>
      <c r="N213" s="264"/>
      <c r="O213" s="6"/>
    </row>
    <row r="214" spans="1:15" ht="15.6" x14ac:dyDescent="0.3">
      <c r="A214" s="255"/>
      <c r="B214" s="256" t="s">
        <v>170</v>
      </c>
      <c r="C214" s="257"/>
      <c r="D214" s="257"/>
      <c r="E214" s="256"/>
      <c r="F214" s="257"/>
      <c r="G214" s="256"/>
      <c r="H214" s="259"/>
      <c r="I214" s="256">
        <v>291</v>
      </c>
      <c r="J214" s="259"/>
      <c r="K214" s="260">
        <v>8155</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1.3238000000000001</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APRIL 2016</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C00-000000000000}"/>
    <hyperlink ref="K202" r:id="rId2" xr:uid="{00000000-0004-0000-2C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4" max="14" man="1"/>
    <brk id="170" max="14" man="1"/>
  </row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2D2926"/>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179687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42600</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277</v>
      </c>
      <c r="F26" s="341"/>
      <c r="G26" s="341" t="s">
        <v>278</v>
      </c>
      <c r="H26" s="342"/>
      <c r="I26" s="342"/>
      <c r="J26" s="338"/>
      <c r="K26" s="338"/>
      <c r="L26" s="339"/>
      <c r="M26" s="339"/>
      <c r="N26" s="311"/>
      <c r="O26" s="6"/>
    </row>
    <row r="27" spans="1:15" ht="15.6" x14ac:dyDescent="0.3">
      <c r="A27" s="340"/>
      <c r="B27" s="319" t="s">
        <v>12</v>
      </c>
      <c r="C27" s="341" t="s">
        <v>254</v>
      </c>
      <c r="D27" s="341"/>
      <c r="E27" s="341" t="s">
        <v>272</v>
      </c>
      <c r="F27" s="341"/>
      <c r="G27" s="341" t="s">
        <v>273</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30863.1708</v>
      </c>
      <c r="D31" s="345"/>
      <c r="E31" s="344">
        <f>E30*E34</f>
        <v>16163.750400000001</v>
      </c>
      <c r="F31" s="344"/>
      <c r="G31" s="344">
        <f>G30*G34</f>
        <v>10390.987800000001</v>
      </c>
      <c r="H31" s="346"/>
      <c r="I31" s="346"/>
      <c r="J31" s="346"/>
      <c r="K31" s="346"/>
      <c r="L31" s="347"/>
      <c r="M31" s="344">
        <f>C31+E31+G31</f>
        <v>57417.909</v>
      </c>
      <c r="N31" s="348"/>
      <c r="O31" s="6"/>
    </row>
    <row r="32" spans="1:15" ht="15.6" x14ac:dyDescent="0.3">
      <c r="A32" s="340"/>
      <c r="B32" s="319" t="s">
        <v>16</v>
      </c>
      <c r="C32" s="349">
        <f>C30*C33</f>
        <v>29301.656999999996</v>
      </c>
      <c r="D32" s="350"/>
      <c r="E32" s="349">
        <f>E30*E33</f>
        <v>15254.5344</v>
      </c>
      <c r="F32" s="349"/>
      <c r="G32" s="349">
        <f>G30*G33</f>
        <v>9806.4917999999998</v>
      </c>
      <c r="H32" s="351"/>
      <c r="I32" s="351"/>
      <c r="J32" s="351"/>
      <c r="K32" s="351"/>
      <c r="L32" s="352"/>
      <c r="M32" s="344">
        <f>C32+E32+G32</f>
        <v>54362.683199999999</v>
      </c>
      <c r="N32" s="348"/>
      <c r="O32" s="6"/>
    </row>
    <row r="33" spans="1:15" ht="15.6" x14ac:dyDescent="0.3">
      <c r="A33" s="340"/>
      <c r="B33" s="278" t="s">
        <v>174</v>
      </c>
      <c r="C33" s="371">
        <v>0.12684699999999999</v>
      </c>
      <c r="D33" s="372"/>
      <c r="E33" s="371">
        <v>0.3632032</v>
      </c>
      <c r="F33" s="371"/>
      <c r="G33" s="371">
        <v>0.36320340000000001</v>
      </c>
      <c r="H33" s="373"/>
      <c r="I33" s="373"/>
      <c r="J33" s="351"/>
      <c r="K33" s="351"/>
      <c r="L33" s="352"/>
      <c r="M33" s="351"/>
      <c r="N33" s="348"/>
      <c r="O33" s="6"/>
    </row>
    <row r="34" spans="1:15" ht="15.6" x14ac:dyDescent="0.3">
      <c r="A34" s="340"/>
      <c r="B34" s="278" t="s">
        <v>175</v>
      </c>
      <c r="C34" s="371">
        <v>0.1336068</v>
      </c>
      <c r="D34" s="372"/>
      <c r="E34" s="371">
        <v>0.3848512</v>
      </c>
      <c r="F34" s="371"/>
      <c r="G34" s="371">
        <v>0.38485140000000001</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9.9074999999999996E-3</v>
      </c>
      <c r="D36" s="258"/>
      <c r="E36" s="356">
        <v>2.0907499999999999E-2</v>
      </c>
      <c r="F36" s="304"/>
      <c r="G36" s="356">
        <v>2.59075E-2</v>
      </c>
      <c r="H36" s="304"/>
      <c r="I36" s="356"/>
      <c r="J36" s="304"/>
      <c r="K36" s="356"/>
      <c r="L36" s="321"/>
      <c r="M36" s="304">
        <f>SUMPRODUCT(C36:G36,C31:G31)/M31</f>
        <v>1.5899655848099589E-2</v>
      </c>
      <c r="N36" s="264"/>
      <c r="O36" s="6"/>
    </row>
    <row r="37" spans="1:15" ht="15.6" x14ac:dyDescent="0.3">
      <c r="A37" s="307"/>
      <c r="B37" s="258" t="s">
        <v>19</v>
      </c>
      <c r="C37" s="356">
        <v>9.9287999999999998E-3</v>
      </c>
      <c r="D37" s="258"/>
      <c r="E37" s="356">
        <v>2.0928800000000001E-2</v>
      </c>
      <c r="F37" s="304"/>
      <c r="G37" s="356">
        <v>2.5928799999999998E-2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0.85527675789802615</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42597</v>
      </c>
      <c r="N47" s="264"/>
      <c r="O47" s="6"/>
    </row>
    <row r="48" spans="1:15" ht="15.6" x14ac:dyDescent="0.3">
      <c r="A48" s="307"/>
      <c r="B48" s="258" t="s">
        <v>26</v>
      </c>
      <c r="C48" s="258"/>
      <c r="D48" s="258"/>
      <c r="E48" s="258"/>
      <c r="F48" s="258"/>
      <c r="G48" s="258"/>
      <c r="H48" s="258"/>
      <c r="I48" s="258"/>
      <c r="J48" s="258">
        <f>M48-K48+1</f>
        <v>91</v>
      </c>
      <c r="K48" s="360">
        <v>42415</v>
      </c>
      <c r="L48" s="361"/>
      <c r="M48" s="360">
        <v>42505</v>
      </c>
      <c r="N48" s="264"/>
      <c r="O48" s="6"/>
    </row>
    <row r="49" spans="1:15" ht="15.6" x14ac:dyDescent="0.3">
      <c r="A49" s="307"/>
      <c r="B49" s="258" t="s">
        <v>27</v>
      </c>
      <c r="C49" s="258"/>
      <c r="D49" s="258"/>
      <c r="E49" s="258"/>
      <c r="F49" s="258"/>
      <c r="G49" s="258"/>
      <c r="H49" s="258"/>
      <c r="I49" s="258"/>
      <c r="J49" s="258">
        <f>M49-K49+1</f>
        <v>91</v>
      </c>
      <c r="K49" s="360">
        <v>42506</v>
      </c>
      <c r="L49" s="361"/>
      <c r="M49" s="360">
        <v>42596</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42583</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279</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57418</v>
      </c>
      <c r="F58" s="256"/>
      <c r="G58" s="256">
        <v>3055</v>
      </c>
      <c r="H58" s="256"/>
      <c r="I58" s="256">
        <v>0</v>
      </c>
      <c r="J58" s="256"/>
      <c r="K58" s="256">
        <v>0</v>
      </c>
      <c r="L58" s="256"/>
      <c r="M58" s="260">
        <f>E58-G58+I58-K58</f>
        <v>54363</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57418</v>
      </c>
      <c r="F62" s="256"/>
      <c r="G62" s="256">
        <f>SUM(G58:G61)</f>
        <v>3055</v>
      </c>
      <c r="H62" s="256"/>
      <c r="I62" s="256">
        <f>SUM(I58:I61)</f>
        <v>0</v>
      </c>
      <c r="J62" s="256"/>
      <c r="K62" s="256">
        <f>SUM(K58:K61)</f>
        <v>0</v>
      </c>
      <c r="L62" s="256"/>
      <c r="M62" s="256">
        <f>SUM(M58:M61)</f>
        <v>54363</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57418</v>
      </c>
      <c r="F75" s="256"/>
      <c r="G75" s="256"/>
      <c r="H75" s="256"/>
      <c r="I75" s="256"/>
      <c r="J75" s="256"/>
      <c r="K75" s="256"/>
      <c r="L75" s="256"/>
      <c r="M75" s="256">
        <f>SUM(M62:M74)</f>
        <v>54363</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42580</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3055+39</f>
        <v>3094</v>
      </c>
      <c r="L80" s="258"/>
      <c r="M80" s="260"/>
      <c r="N80" s="264"/>
      <c r="O80" s="6"/>
    </row>
    <row r="81" spans="1:16" ht="15.6" x14ac:dyDescent="0.3">
      <c r="A81" s="307"/>
      <c r="B81" s="258" t="s">
        <v>204</v>
      </c>
      <c r="C81" s="290"/>
      <c r="D81" s="325"/>
      <c r="E81" s="326"/>
      <c r="F81" s="258"/>
      <c r="G81" s="258"/>
      <c r="H81" s="258"/>
      <c r="I81" s="258"/>
      <c r="J81" s="258"/>
      <c r="K81" s="256"/>
      <c r="L81" s="258"/>
      <c r="M81" s="260">
        <f>3069+6-1968</f>
        <v>1107</v>
      </c>
      <c r="N81" s="264"/>
      <c r="O81" s="6"/>
    </row>
    <row r="82" spans="1:16" ht="15.6" x14ac:dyDescent="0.3">
      <c r="A82" s="307"/>
      <c r="B82" s="258" t="s">
        <v>205</v>
      </c>
      <c r="C82" s="290"/>
      <c r="D82" s="325"/>
      <c r="E82" s="326"/>
      <c r="F82" s="258"/>
      <c r="G82" s="258"/>
      <c r="H82" s="258"/>
      <c r="I82" s="258"/>
      <c r="J82" s="258"/>
      <c r="K82" s="256"/>
      <c r="L82" s="258"/>
      <c r="M82" s="260">
        <v>141</v>
      </c>
      <c r="N82" s="264"/>
      <c r="O82" s="6"/>
    </row>
    <row r="83" spans="1:16" ht="15.6" x14ac:dyDescent="0.3">
      <c r="A83" s="307"/>
      <c r="B83" s="258" t="s">
        <v>206</v>
      </c>
      <c r="C83" s="290"/>
      <c r="D83" s="325"/>
      <c r="E83" s="326"/>
      <c r="F83" s="258"/>
      <c r="G83" s="258"/>
      <c r="H83" s="258"/>
      <c r="I83" s="258"/>
      <c r="J83" s="258"/>
      <c r="K83" s="256"/>
      <c r="L83" s="258"/>
      <c r="M83" s="260">
        <v>25</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3094</v>
      </c>
      <c r="L85" s="258"/>
      <c r="M85" s="256">
        <f>SUM(M79:M84)</f>
        <v>1273</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3094</v>
      </c>
      <c r="L87" s="258"/>
      <c r="M87" s="256">
        <f>M85+M86</f>
        <v>1273</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-21-18-1</f>
        <v>-40</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-76</v>
      </c>
      <c r="N93" s="311"/>
      <c r="O93" s="6"/>
    </row>
    <row r="94" spans="1:16" ht="15.6" x14ac:dyDescent="0.3">
      <c r="A94" s="255">
        <v>5</v>
      </c>
      <c r="B94" s="258" t="s">
        <v>52</v>
      </c>
      <c r="C94" s="258"/>
      <c r="D94" s="258"/>
      <c r="E94" s="258"/>
      <c r="F94" s="258"/>
      <c r="G94" s="258"/>
      <c r="H94" s="258"/>
      <c r="I94" s="258"/>
      <c r="J94" s="258"/>
      <c r="K94" s="258"/>
      <c r="L94" s="258"/>
      <c r="M94" s="260">
        <v>-84</v>
      </c>
      <c r="N94" s="311"/>
      <c r="O94" s="6"/>
    </row>
    <row r="95" spans="1:16" ht="15.6" x14ac:dyDescent="0.3">
      <c r="A95" s="255">
        <v>6</v>
      </c>
      <c r="B95" s="258" t="s">
        <v>172</v>
      </c>
      <c r="C95" s="258"/>
      <c r="D95" s="258"/>
      <c r="E95" s="258"/>
      <c r="F95" s="258"/>
      <c r="G95" s="258"/>
      <c r="H95" s="258"/>
      <c r="I95" s="258"/>
      <c r="J95" s="258"/>
      <c r="K95" s="258"/>
      <c r="L95" s="258"/>
      <c r="M95" s="260">
        <v>-67</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-39</v>
      </c>
      <c r="L97" s="258"/>
      <c r="M97" s="260">
        <v>39</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-22</v>
      </c>
      <c r="N101" s="311"/>
      <c r="O101" s="6"/>
    </row>
    <row r="102" spans="1:16" ht="15.6" x14ac:dyDescent="0.3">
      <c r="A102" s="255">
        <v>13</v>
      </c>
      <c r="B102" s="258" t="s">
        <v>195</v>
      </c>
      <c r="C102" s="258"/>
      <c r="D102" s="258"/>
      <c r="E102" s="258"/>
      <c r="F102" s="258"/>
      <c r="G102" s="258"/>
      <c r="H102" s="258"/>
      <c r="I102" s="258"/>
      <c r="J102" s="258"/>
      <c r="K102" s="258"/>
      <c r="L102" s="258"/>
      <c r="M102" s="260">
        <f>-M87-SUM(M89:M101)</f>
        <v>-1014</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-1562</v>
      </c>
      <c r="L107" s="256"/>
      <c r="M107" s="260"/>
      <c r="N107" s="311"/>
      <c r="O107" s="6"/>
    </row>
    <row r="108" spans="1:16" ht="15.6" x14ac:dyDescent="0.3">
      <c r="A108" s="307"/>
      <c r="B108" s="258" t="s">
        <v>59</v>
      </c>
      <c r="C108" s="258"/>
      <c r="D108" s="258"/>
      <c r="E108" s="258"/>
      <c r="F108" s="258"/>
      <c r="G108" s="258"/>
      <c r="H108" s="258"/>
      <c r="I108" s="258"/>
      <c r="J108" s="258"/>
      <c r="K108" s="256">
        <v>-909</v>
      </c>
      <c r="L108" s="256"/>
      <c r="M108" s="260"/>
      <c r="N108" s="311"/>
      <c r="O108" s="6"/>
    </row>
    <row r="109" spans="1:16" ht="15.6" x14ac:dyDescent="0.3">
      <c r="A109" s="307"/>
      <c r="B109" s="258" t="s">
        <v>186</v>
      </c>
      <c r="C109" s="258"/>
      <c r="D109" s="258"/>
      <c r="E109" s="258"/>
      <c r="F109" s="258"/>
      <c r="G109" s="258"/>
      <c r="H109" s="258"/>
      <c r="I109" s="258"/>
      <c r="J109" s="258"/>
      <c r="K109" s="256">
        <v>-584</v>
      </c>
      <c r="L109" s="256"/>
      <c r="M109" s="260"/>
      <c r="N109" s="311"/>
      <c r="O109" s="6"/>
    </row>
    <row r="110" spans="1:16" ht="15.6" x14ac:dyDescent="0.3">
      <c r="A110" s="307"/>
      <c r="B110" s="258" t="s">
        <v>60</v>
      </c>
      <c r="C110" s="258"/>
      <c r="D110" s="258"/>
      <c r="E110" s="258"/>
      <c r="F110" s="258"/>
      <c r="G110" s="258"/>
      <c r="H110" s="258"/>
      <c r="I110" s="258"/>
      <c r="J110" s="258"/>
      <c r="K110" s="256">
        <f>+K105+K106+K107+K108+K109</f>
        <v>-3055</v>
      </c>
      <c r="L110" s="256"/>
      <c r="M110" s="256">
        <f>SUM(M88:M109)</f>
        <v>-1273</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JULY 2016</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-194</v>
      </c>
      <c r="N139" s="264"/>
      <c r="O139" s="6"/>
    </row>
    <row r="140" spans="1:15" ht="15.6" x14ac:dyDescent="0.3">
      <c r="A140" s="307"/>
      <c r="B140" s="258" t="s">
        <v>180</v>
      </c>
      <c r="C140" s="258"/>
      <c r="D140" s="258"/>
      <c r="E140" s="258"/>
      <c r="F140" s="258"/>
      <c r="G140" s="258"/>
      <c r="H140" s="258"/>
      <c r="I140" s="258"/>
      <c r="J140" s="258"/>
      <c r="K140" s="258"/>
      <c r="L140" s="258"/>
      <c r="M140" s="260">
        <f>210-55</f>
        <v>155</v>
      </c>
      <c r="N140" s="264"/>
      <c r="O140" s="6"/>
    </row>
    <row r="141" spans="1:15" ht="15.6" x14ac:dyDescent="0.3">
      <c r="A141" s="307"/>
      <c r="B141" s="258" t="s">
        <v>77</v>
      </c>
      <c r="C141" s="258"/>
      <c r="D141" s="258"/>
      <c r="E141" s="258"/>
      <c r="F141" s="258"/>
      <c r="G141" s="258"/>
      <c r="H141" s="258"/>
      <c r="I141" s="258"/>
      <c r="J141" s="258"/>
      <c r="K141" s="258"/>
      <c r="L141" s="258"/>
      <c r="M141" s="260">
        <f>M139+M138+M140</f>
        <v>-39</v>
      </c>
      <c r="N141" s="264"/>
      <c r="O141" s="6"/>
    </row>
    <row r="142" spans="1:15" ht="15.6" x14ac:dyDescent="0.3">
      <c r="A142" s="307"/>
      <c r="B142" s="258" t="s">
        <v>183</v>
      </c>
      <c r="C142" s="258"/>
      <c r="D142" s="258"/>
      <c r="E142" s="258"/>
      <c r="F142" s="258"/>
      <c r="G142" s="258"/>
      <c r="H142" s="258"/>
      <c r="I142" s="303"/>
      <c r="J142" s="258"/>
      <c r="K142" s="258"/>
      <c r="L142" s="258"/>
      <c r="M142" s="260">
        <f>M97</f>
        <v>39</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54363</v>
      </c>
      <c r="N148" s="318"/>
      <c r="O148" s="6"/>
      <c r="P148" s="117"/>
    </row>
    <row r="149" spans="1:16" ht="15.6" x14ac:dyDescent="0.3">
      <c r="A149" s="307"/>
      <c r="B149" s="258" t="s">
        <v>80</v>
      </c>
      <c r="C149" s="319"/>
      <c r="D149" s="319"/>
      <c r="E149" s="258"/>
      <c r="F149" s="258"/>
      <c r="G149" s="258"/>
      <c r="H149" s="258"/>
      <c r="I149" s="258"/>
      <c r="J149" s="258"/>
      <c r="K149" s="258"/>
      <c r="L149" s="258"/>
      <c r="M149" s="260">
        <f>M75</f>
        <v>54363</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+'April 16'!I156</f>
        <v>7636</v>
      </c>
      <c r="J154" s="258"/>
      <c r="K154" s="260">
        <f>+'April 16'!K156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16.19736842105263</v>
      </c>
      <c r="N161" s="264" t="s">
        <v>145</v>
      </c>
      <c r="O161" s="6"/>
    </row>
    <row r="162" spans="1:15" ht="15.6" x14ac:dyDescent="0.3">
      <c r="A162" s="307"/>
      <c r="B162" s="258" t="s">
        <v>89</v>
      </c>
      <c r="C162" s="258"/>
      <c r="D162" s="258"/>
      <c r="E162" s="258"/>
      <c r="F162" s="258"/>
      <c r="G162" s="258"/>
      <c r="H162" s="258"/>
      <c r="I162" s="258"/>
      <c r="J162" s="258"/>
      <c r="K162" s="258"/>
      <c r="L162" s="258"/>
      <c r="M162" s="309">
        <v>3.77</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13.75</v>
      </c>
      <c r="N163" s="264" t="s">
        <v>145</v>
      </c>
      <c r="O163" s="6"/>
    </row>
    <row r="164" spans="1:15" ht="15.6" x14ac:dyDescent="0.3">
      <c r="A164" s="307"/>
      <c r="B164" s="258" t="s">
        <v>91</v>
      </c>
      <c r="C164" s="258"/>
      <c r="D164" s="258"/>
      <c r="E164" s="258"/>
      <c r="F164" s="258"/>
      <c r="G164" s="258"/>
      <c r="H164" s="258"/>
      <c r="I164" s="258"/>
      <c r="J164" s="258"/>
      <c r="K164" s="258"/>
      <c r="L164" s="258"/>
      <c r="M164" s="310">
        <v>10.029999999999999</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15.985074626865671</v>
      </c>
      <c r="N165" s="264" t="s">
        <v>145</v>
      </c>
      <c r="O165" s="6"/>
    </row>
    <row r="166" spans="1:15" ht="15.6" x14ac:dyDescent="0.3">
      <c r="A166" s="307"/>
      <c r="B166" s="258" t="s">
        <v>182</v>
      </c>
      <c r="C166" s="258"/>
      <c r="D166" s="258"/>
      <c r="E166" s="258"/>
      <c r="F166" s="258"/>
      <c r="G166" s="258"/>
      <c r="H166" s="258"/>
      <c r="I166" s="258"/>
      <c r="J166" s="258"/>
      <c r="K166" s="258"/>
      <c r="L166" s="258"/>
      <c r="M166" s="310">
        <v>12.76</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JULY 2016</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42580</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9.5100000000000004E-2</v>
      </c>
      <c r="L176" s="258"/>
      <c r="M176" s="258"/>
      <c r="N176" s="264"/>
      <c r="O176" s="6"/>
    </row>
    <row r="177" spans="1:15" ht="15.6" x14ac:dyDescent="0.3">
      <c r="A177" s="301"/>
      <c r="B177" s="258" t="s">
        <v>97</v>
      </c>
      <c r="C177" s="302"/>
      <c r="D177" s="302"/>
      <c r="E177" s="302"/>
      <c r="F177" s="302"/>
      <c r="G177" s="302"/>
      <c r="H177" s="303"/>
      <c r="I177" s="303"/>
      <c r="J177" s="303"/>
      <c r="K177" s="304">
        <f>M36</f>
        <v>1.5899655848099589E-2</v>
      </c>
      <c r="L177" s="258"/>
      <c r="M177" s="258"/>
      <c r="N177" s="264"/>
      <c r="O177" s="6"/>
    </row>
    <row r="178" spans="1:15" ht="15.6" x14ac:dyDescent="0.3">
      <c r="A178" s="301"/>
      <c r="B178" s="258" t="s">
        <v>98</v>
      </c>
      <c r="C178" s="302"/>
      <c r="D178" s="302"/>
      <c r="E178" s="302"/>
      <c r="F178" s="302"/>
      <c r="G178" s="302"/>
      <c r="H178" s="303"/>
      <c r="I178" s="303"/>
      <c r="J178" s="303"/>
      <c r="K178" s="304">
        <f>K176-K177</f>
        <v>7.9200344151900415E-2</v>
      </c>
      <c r="L178" s="258"/>
      <c r="M178" s="258"/>
      <c r="N178" s="264"/>
      <c r="O178" s="6"/>
    </row>
    <row r="179" spans="1:15" ht="15.6" x14ac:dyDescent="0.3">
      <c r="A179" s="301"/>
      <c r="B179" s="258" t="s">
        <v>211</v>
      </c>
      <c r="C179" s="302"/>
      <c r="D179" s="302"/>
      <c r="E179" s="302"/>
      <c r="F179" s="302"/>
      <c r="G179" s="302"/>
      <c r="H179" s="303"/>
      <c r="I179" s="303"/>
      <c r="J179" s="303"/>
      <c r="K179" s="304">
        <f>(+M87+M89)/E58</f>
        <v>2.2170747849106553E-2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10.76</v>
      </c>
      <c r="L184" s="258" t="s">
        <v>139</v>
      </c>
      <c r="M184" s="258"/>
      <c r="N184" s="264"/>
      <c r="O184" s="6"/>
    </row>
    <row r="185" spans="1:15" ht="15.6" x14ac:dyDescent="0.3">
      <c r="A185" s="301"/>
      <c r="B185" s="258" t="s">
        <v>103</v>
      </c>
      <c r="C185" s="302"/>
      <c r="D185" s="302"/>
      <c r="E185" s="302"/>
      <c r="F185" s="302"/>
      <c r="G185" s="302"/>
      <c r="H185" s="303"/>
      <c r="I185" s="303"/>
      <c r="J185" s="303"/>
      <c r="K185" s="304">
        <f>K80/E58</f>
        <v>5.3885541119509564E-2</v>
      </c>
      <c r="L185" s="258"/>
      <c r="M185" s="258"/>
      <c r="N185" s="264"/>
      <c r="O185" s="6"/>
    </row>
    <row r="186" spans="1:15" ht="15.6" x14ac:dyDescent="0.3">
      <c r="A186" s="301"/>
      <c r="B186" s="258" t="s">
        <v>104</v>
      </c>
      <c r="C186" s="302"/>
      <c r="D186" s="302"/>
      <c r="E186" s="302"/>
      <c r="F186" s="302"/>
      <c r="G186" s="302"/>
      <c r="H186" s="303"/>
      <c r="I186" s="303"/>
      <c r="J186" s="303"/>
      <c r="K186" s="304">
        <v>0.22500000000000001</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78">
        <v>357</v>
      </c>
      <c r="K189" s="379">
        <v>7363</v>
      </c>
      <c r="L189" s="217"/>
      <c r="M189" s="229"/>
      <c r="N189" s="230"/>
      <c r="O189" s="6"/>
    </row>
    <row r="190" spans="1:15" ht="15.6" x14ac:dyDescent="0.3">
      <c r="A190" s="275"/>
      <c r="B190" s="258" t="s">
        <v>196</v>
      </c>
      <c r="C190" s="256"/>
      <c r="D190" s="256"/>
      <c r="E190" s="256"/>
      <c r="F190" s="256"/>
      <c r="G190" s="258"/>
      <c r="H190" s="258"/>
      <c r="I190" s="258"/>
      <c r="J190" s="380">
        <v>0</v>
      </c>
      <c r="K190" s="381">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-39</v>
      </c>
      <c r="L194" s="258"/>
      <c r="M194" s="281"/>
      <c r="N194" s="286"/>
      <c r="O194" s="6"/>
    </row>
    <row r="195" spans="1:15" ht="15.6" x14ac:dyDescent="0.3">
      <c r="A195" s="275"/>
      <c r="B195" s="258" t="s">
        <v>111</v>
      </c>
      <c r="C195" s="256"/>
      <c r="D195" s="256"/>
      <c r="E195" s="256"/>
      <c r="F195" s="256"/>
      <c r="G195" s="256"/>
      <c r="H195" s="258"/>
      <c r="I195" s="258"/>
      <c r="J195" s="258"/>
      <c r="K195" s="375">
        <f>'April 16'!K195+'July 16'!K194</f>
        <v>37220</v>
      </c>
      <c r="L195" s="258"/>
      <c r="M195" s="281"/>
      <c r="N195" s="286"/>
      <c r="O195" s="6"/>
    </row>
    <row r="196" spans="1:15" ht="15.6" x14ac:dyDescent="0.3">
      <c r="A196" s="275"/>
      <c r="B196" s="258" t="s">
        <v>112</v>
      </c>
      <c r="C196" s="256"/>
      <c r="D196" s="256"/>
      <c r="E196" s="256"/>
      <c r="F196" s="256"/>
      <c r="G196" s="256"/>
      <c r="H196" s="258"/>
      <c r="I196" s="258"/>
      <c r="J196" s="258"/>
      <c r="K196" s="375">
        <f>'April 16'!K196+546</f>
        <v>15762</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81">
        <v>4</v>
      </c>
      <c r="L198" s="258"/>
      <c r="M198" s="261"/>
      <c r="N198" s="286"/>
      <c r="O198" s="6"/>
    </row>
    <row r="199" spans="1:15" ht="15.6" x14ac:dyDescent="0.3">
      <c r="A199" s="275"/>
      <c r="B199" s="258" t="s">
        <v>113</v>
      </c>
      <c r="C199" s="256"/>
      <c r="D199" s="256"/>
      <c r="E199" s="290"/>
      <c r="F199" s="290"/>
      <c r="G199" s="291"/>
      <c r="H199" s="258"/>
      <c r="I199" s="258"/>
      <c r="J199" s="258"/>
      <c r="K199" s="382">
        <v>189.5</v>
      </c>
      <c r="L199" s="258"/>
      <c r="M199" s="261"/>
      <c r="N199" s="286"/>
      <c r="O199" s="6"/>
    </row>
    <row r="200" spans="1:15" ht="15.6" x14ac:dyDescent="0.3">
      <c r="A200" s="275"/>
      <c r="B200" s="258" t="s">
        <v>114</v>
      </c>
      <c r="C200" s="256"/>
      <c r="D200" s="256"/>
      <c r="E200" s="290"/>
      <c r="F200" s="290"/>
      <c r="G200" s="291"/>
      <c r="H200" s="258"/>
      <c r="I200" s="258"/>
      <c r="J200" s="258"/>
      <c r="K200" s="382">
        <v>12.25</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2483</v>
      </c>
      <c r="J205" s="232">
        <f>I205/I213</f>
        <v>0.87429577464788732</v>
      </c>
      <c r="K205" s="221">
        <v>47000</v>
      </c>
      <c r="L205" s="232">
        <f>K205/K213</f>
        <v>0.86455861523462652</v>
      </c>
      <c r="M205" s="228"/>
      <c r="N205" s="218"/>
      <c r="O205" s="6"/>
    </row>
    <row r="206" spans="1:15" ht="15.6" x14ac:dyDescent="0.3">
      <c r="A206" s="255"/>
      <c r="B206" s="256" t="s">
        <v>117</v>
      </c>
      <c r="C206" s="257"/>
      <c r="D206" s="257"/>
      <c r="E206" s="256"/>
      <c r="F206" s="257"/>
      <c r="G206" s="258"/>
      <c r="H206" s="259"/>
      <c r="I206" s="256">
        <v>62</v>
      </c>
      <c r="J206" s="259">
        <f>I206/I213</f>
        <v>2.1830985915492956E-2</v>
      </c>
      <c r="K206" s="260">
        <v>1112</v>
      </c>
      <c r="L206" s="259">
        <f>K206/K213</f>
        <v>2.0455088939168184E-2</v>
      </c>
      <c r="M206" s="261"/>
      <c r="N206" s="263"/>
      <c r="O206" s="6"/>
    </row>
    <row r="207" spans="1:15" ht="15.6" x14ac:dyDescent="0.3">
      <c r="A207" s="255"/>
      <c r="B207" s="256" t="s">
        <v>118</v>
      </c>
      <c r="C207" s="257"/>
      <c r="D207" s="257"/>
      <c r="E207" s="256"/>
      <c r="F207" s="257"/>
      <c r="G207" s="256"/>
      <c r="H207" s="259"/>
      <c r="I207" s="256">
        <v>47</v>
      </c>
      <c r="J207" s="259">
        <f>I207/I213</f>
        <v>1.6549295774647886E-2</v>
      </c>
      <c r="K207" s="260">
        <v>1074</v>
      </c>
      <c r="L207" s="259">
        <f>K207/K213</f>
        <v>1.9756084101318912E-2</v>
      </c>
      <c r="M207" s="374"/>
      <c r="N207" s="263"/>
      <c r="O207" s="6"/>
    </row>
    <row r="208" spans="1:15" ht="15.6" x14ac:dyDescent="0.3">
      <c r="A208" s="255"/>
      <c r="B208" s="256" t="s">
        <v>167</v>
      </c>
      <c r="C208" s="257"/>
      <c r="D208" s="257"/>
      <c r="E208" s="256"/>
      <c r="F208" s="257"/>
      <c r="G208" s="256"/>
      <c r="H208" s="259"/>
      <c r="I208" s="256">
        <v>45</v>
      </c>
      <c r="J208" s="259">
        <f>I208/I213</f>
        <v>1.5845070422535211E-2</v>
      </c>
      <c r="K208" s="260">
        <v>833</v>
      </c>
      <c r="L208" s="259">
        <f>K208/K213</f>
        <v>1.5322921840222209E-2</v>
      </c>
      <c r="M208" s="374"/>
      <c r="N208" s="263"/>
      <c r="O208" s="6"/>
    </row>
    <row r="209" spans="1:15" ht="15.6" x14ac:dyDescent="0.3">
      <c r="A209" s="255"/>
      <c r="B209" s="256" t="s">
        <v>168</v>
      </c>
      <c r="C209" s="257"/>
      <c r="D209" s="257"/>
      <c r="E209" s="256"/>
      <c r="F209" s="257"/>
      <c r="G209" s="258"/>
      <c r="H209" s="259"/>
      <c r="I209" s="256">
        <v>39</v>
      </c>
      <c r="J209" s="259">
        <f>I209/I213</f>
        <v>1.3732394366197184E-2</v>
      </c>
      <c r="K209" s="260">
        <v>821</v>
      </c>
      <c r="L209" s="259">
        <f>K209/K213</f>
        <v>1.510218347037507E-2</v>
      </c>
      <c r="M209" s="374"/>
      <c r="N209" s="263"/>
      <c r="O209" s="6"/>
    </row>
    <row r="210" spans="1:15" ht="15.6" x14ac:dyDescent="0.3">
      <c r="A210" s="255"/>
      <c r="B210" s="256" t="s">
        <v>169</v>
      </c>
      <c r="C210" s="257"/>
      <c r="D210" s="257"/>
      <c r="E210" s="256"/>
      <c r="F210" s="257"/>
      <c r="G210" s="258"/>
      <c r="H210" s="259"/>
      <c r="I210" s="256">
        <v>34</v>
      </c>
      <c r="J210" s="259">
        <f>I210/I213</f>
        <v>1.1971830985915493E-2</v>
      </c>
      <c r="K210" s="260">
        <v>649</v>
      </c>
      <c r="L210" s="259">
        <f>K210/K213</f>
        <v>1.1938266835899417E-2</v>
      </c>
      <c r="M210" s="374"/>
      <c r="N210" s="262"/>
      <c r="O210" s="6"/>
    </row>
    <row r="211" spans="1:15" ht="15.6" x14ac:dyDescent="0.3">
      <c r="A211" s="255"/>
      <c r="B211" s="256" t="s">
        <v>176</v>
      </c>
      <c r="C211" s="257"/>
      <c r="D211" s="257"/>
      <c r="E211" s="256"/>
      <c r="F211" s="257"/>
      <c r="G211" s="258"/>
      <c r="H211" s="259"/>
      <c r="I211" s="256">
        <v>73</v>
      </c>
      <c r="J211" s="259">
        <f>I211/I213</f>
        <v>2.5704225352112677E-2</v>
      </c>
      <c r="K211" s="260">
        <v>1689</v>
      </c>
      <c r="L211" s="259">
        <f>K211/K213</f>
        <v>3.1068925555984769E-2</v>
      </c>
      <c r="M211" s="261"/>
      <c r="N211" s="263"/>
      <c r="O211" s="6"/>
    </row>
    <row r="212" spans="1:15" ht="15.6" x14ac:dyDescent="0.3">
      <c r="A212" s="255"/>
      <c r="B212" s="256" t="s">
        <v>202</v>
      </c>
      <c r="C212" s="257"/>
      <c r="D212" s="257"/>
      <c r="E212" s="256"/>
      <c r="F212" s="257"/>
      <c r="G212" s="258"/>
      <c r="H212" s="259"/>
      <c r="I212" s="256">
        <v>57</v>
      </c>
      <c r="J212" s="259">
        <f>+I212/I213</f>
        <v>2.0070422535211269E-2</v>
      </c>
      <c r="K212" s="260">
        <v>1185</v>
      </c>
      <c r="L212" s="259">
        <f>+K212/K213</f>
        <v>2.1797914022404944E-2</v>
      </c>
      <c r="M212" s="261"/>
      <c r="N212" s="263"/>
      <c r="O212" s="6"/>
    </row>
    <row r="213" spans="1:15" ht="15.6" x14ac:dyDescent="0.3">
      <c r="A213" s="255"/>
      <c r="B213" s="258" t="s">
        <v>189</v>
      </c>
      <c r="C213" s="258"/>
      <c r="D213" s="258"/>
      <c r="E213" s="258"/>
      <c r="F213" s="258"/>
      <c r="G213" s="256"/>
      <c r="H213" s="258"/>
      <c r="I213" s="256">
        <f>SUM(I205:I212)</f>
        <v>2840</v>
      </c>
      <c r="J213" s="259">
        <f>SUM(J205:J212)</f>
        <v>1</v>
      </c>
      <c r="K213" s="260">
        <f>SUM(K205:K212)</f>
        <v>54363</v>
      </c>
      <c r="L213" s="259">
        <f>SUM(L205:L212)</f>
        <v>0.99999999999999989</v>
      </c>
      <c r="M213" s="258"/>
      <c r="N213" s="264"/>
      <c r="O213" s="6"/>
    </row>
    <row r="214" spans="1:15" ht="15.6" x14ac:dyDescent="0.3">
      <c r="A214" s="255"/>
      <c r="B214" s="256" t="s">
        <v>170</v>
      </c>
      <c r="C214" s="257"/>
      <c r="D214" s="257"/>
      <c r="E214" s="256"/>
      <c r="F214" s="257"/>
      <c r="G214" s="256"/>
      <c r="H214" s="259"/>
      <c r="I214" s="256">
        <v>282</v>
      </c>
      <c r="J214" s="259"/>
      <c r="K214" s="260">
        <v>7960</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1.1140000000000001</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JULY 2016</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D00-000000000000}"/>
    <hyperlink ref="K202" r:id="rId2" xr:uid="{00000000-0004-0000-2D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4" max="14" man="1"/>
    <brk id="170" max="14" man="1"/>
  </rowBreaks>
  <colBreaks count="1" manualBreakCount="1">
    <brk id="14" max="224" man="1"/>
  </col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89CB31"/>
  </sheetPr>
  <dimension ref="A1:P227"/>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179687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42691</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277</v>
      </c>
      <c r="F26" s="341"/>
      <c r="G26" s="341" t="s">
        <v>278</v>
      </c>
      <c r="H26" s="342"/>
      <c r="I26" s="342"/>
      <c r="J26" s="338"/>
      <c r="K26" s="338"/>
      <c r="L26" s="339"/>
      <c r="M26" s="339"/>
      <c r="N26" s="311"/>
      <c r="O26" s="6"/>
    </row>
    <row r="27" spans="1:15" ht="15.6" x14ac:dyDescent="0.3">
      <c r="A27" s="340"/>
      <c r="B27" s="319" t="s">
        <v>12</v>
      </c>
      <c r="C27" s="341" t="s">
        <v>254</v>
      </c>
      <c r="D27" s="341"/>
      <c r="E27" s="341" t="s">
        <v>272</v>
      </c>
      <c r="F27" s="341"/>
      <c r="G27" s="341" t="s">
        <v>273</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29301.656999999996</v>
      </c>
      <c r="D31" s="345"/>
      <c r="E31" s="344">
        <f>E30*E34</f>
        <v>15254.5344</v>
      </c>
      <c r="F31" s="344"/>
      <c r="G31" s="344">
        <f>G30*G34</f>
        <v>9806.4917999999998</v>
      </c>
      <c r="H31" s="346"/>
      <c r="I31" s="346"/>
      <c r="J31" s="346"/>
      <c r="K31" s="346"/>
      <c r="L31" s="347"/>
      <c r="M31" s="344">
        <f>C31+E31+G31</f>
        <v>54362.683199999999</v>
      </c>
      <c r="N31" s="348"/>
      <c r="O31" s="6"/>
    </row>
    <row r="32" spans="1:15" ht="15.6" x14ac:dyDescent="0.3">
      <c r="A32" s="340"/>
      <c r="B32" s="319" t="s">
        <v>16</v>
      </c>
      <c r="C32" s="349">
        <f>C30*C33</f>
        <v>27871.074000000001</v>
      </c>
      <c r="D32" s="350"/>
      <c r="E32" s="349">
        <f>E30*E33</f>
        <v>14509.74</v>
      </c>
      <c r="F32" s="349"/>
      <c r="G32" s="349">
        <f>G30*G33</f>
        <v>9327.6954000000005</v>
      </c>
      <c r="H32" s="351"/>
      <c r="I32" s="351"/>
      <c r="J32" s="351"/>
      <c r="K32" s="351"/>
      <c r="L32" s="352"/>
      <c r="M32" s="344">
        <f>C32+E32+G32</f>
        <v>51708.509399999995</v>
      </c>
      <c r="N32" s="348"/>
      <c r="O32" s="6"/>
    </row>
    <row r="33" spans="1:15" ht="15.6" x14ac:dyDescent="0.3">
      <c r="A33" s="340"/>
      <c r="B33" s="278" t="s">
        <v>174</v>
      </c>
      <c r="C33" s="371">
        <v>0.120654</v>
      </c>
      <c r="D33" s="372"/>
      <c r="E33" s="371">
        <v>0.34547</v>
      </c>
      <c r="F33" s="371"/>
      <c r="G33" s="371">
        <v>0.34547020000000001</v>
      </c>
      <c r="H33" s="373"/>
      <c r="I33" s="373"/>
      <c r="J33" s="351"/>
      <c r="K33" s="351"/>
      <c r="L33" s="352"/>
      <c r="M33" s="351"/>
      <c r="N33" s="348"/>
      <c r="O33" s="6"/>
    </row>
    <row r="34" spans="1:15" ht="15.6" x14ac:dyDescent="0.3">
      <c r="A34" s="340"/>
      <c r="B34" s="278" t="s">
        <v>175</v>
      </c>
      <c r="C34" s="371">
        <v>0.12684699999999999</v>
      </c>
      <c r="D34" s="372"/>
      <c r="E34" s="371">
        <v>0.3632032</v>
      </c>
      <c r="F34" s="371"/>
      <c r="G34" s="371">
        <v>0.36320340000000001</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7.8563000000000001E-3</v>
      </c>
      <c r="D36" s="258"/>
      <c r="E36" s="356">
        <v>1.8856299999999999E-2</v>
      </c>
      <c r="F36" s="304"/>
      <c r="G36" s="356">
        <v>2.38563E-2</v>
      </c>
      <c r="H36" s="304"/>
      <c r="I36" s="356"/>
      <c r="J36" s="304"/>
      <c r="K36" s="356"/>
      <c r="L36" s="321"/>
      <c r="M36" s="304">
        <f>SUMPRODUCT(C36:G36,C31:G31)/M31</f>
        <v>1.3829216127142156E-2</v>
      </c>
      <c r="N36" s="264"/>
      <c r="O36" s="6"/>
    </row>
    <row r="37" spans="1:15" ht="15.6" x14ac:dyDescent="0.3">
      <c r="A37" s="307"/>
      <c r="B37" s="258" t="s">
        <v>19</v>
      </c>
      <c r="C37" s="356">
        <v>9.9074999999999996E-3</v>
      </c>
      <c r="D37" s="258"/>
      <c r="E37" s="356">
        <v>2.0907499999999999E-2</v>
      </c>
      <c r="F37" s="304"/>
      <c r="G37" s="356">
        <v>2.59075E-2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0.85527509273593127</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42689</v>
      </c>
      <c r="N47" s="264"/>
      <c r="O47" s="6"/>
    </row>
    <row r="48" spans="1:15" ht="15.6" x14ac:dyDescent="0.3">
      <c r="A48" s="307"/>
      <c r="B48" s="258" t="s">
        <v>26</v>
      </c>
      <c r="C48" s="258"/>
      <c r="D48" s="258"/>
      <c r="E48" s="258"/>
      <c r="F48" s="258"/>
      <c r="G48" s="258"/>
      <c r="H48" s="258"/>
      <c r="I48" s="258"/>
      <c r="J48" s="258">
        <f>M48-K48+1</f>
        <v>91</v>
      </c>
      <c r="K48" s="360">
        <v>42506</v>
      </c>
      <c r="L48" s="361"/>
      <c r="M48" s="360">
        <v>42596</v>
      </c>
      <c r="N48" s="264"/>
      <c r="O48" s="6"/>
    </row>
    <row r="49" spans="1:15" ht="15.6" x14ac:dyDescent="0.3">
      <c r="A49" s="307"/>
      <c r="B49" s="258" t="s">
        <v>27</v>
      </c>
      <c r="C49" s="258"/>
      <c r="D49" s="258"/>
      <c r="E49" s="258"/>
      <c r="F49" s="258"/>
      <c r="G49" s="258"/>
      <c r="H49" s="258"/>
      <c r="I49" s="258"/>
      <c r="J49" s="258">
        <f>M49-K49+1</f>
        <v>92</v>
      </c>
      <c r="K49" s="360">
        <v>42597</v>
      </c>
      <c r="L49" s="361"/>
      <c r="M49" s="360">
        <v>42688</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42675</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280</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54363</v>
      </c>
      <c r="F58" s="256"/>
      <c r="G58" s="256">
        <v>2654</v>
      </c>
      <c r="H58" s="256"/>
      <c r="I58" s="256">
        <v>0</v>
      </c>
      <c r="J58" s="256"/>
      <c r="K58" s="256">
        <v>0</v>
      </c>
      <c r="L58" s="256"/>
      <c r="M58" s="260">
        <f>E58-G58+I58-K58</f>
        <v>51709</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54363</v>
      </c>
      <c r="F62" s="256"/>
      <c r="G62" s="256">
        <f>SUM(G58:G61)</f>
        <v>2654</v>
      </c>
      <c r="H62" s="256"/>
      <c r="I62" s="256">
        <f>SUM(I58:I61)</f>
        <v>0</v>
      </c>
      <c r="J62" s="256"/>
      <c r="K62" s="256">
        <f>SUM(K58:K61)</f>
        <v>0</v>
      </c>
      <c r="L62" s="256"/>
      <c r="M62" s="256">
        <f>SUM(M58:M61)</f>
        <v>51709</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54363</v>
      </c>
      <c r="F75" s="256"/>
      <c r="G75" s="256"/>
      <c r="H75" s="256"/>
      <c r="I75" s="256"/>
      <c r="J75" s="256"/>
      <c r="K75" s="256"/>
      <c r="L75" s="256"/>
      <c r="M75" s="256">
        <f>SUM(M62:M74)</f>
        <v>51709</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42674</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2654-60</f>
        <v>2594</v>
      </c>
      <c r="L80" s="258"/>
      <c r="M80" s="260"/>
      <c r="N80" s="264"/>
      <c r="O80" s="6"/>
    </row>
    <row r="81" spans="1:16" ht="15.6" x14ac:dyDescent="0.3">
      <c r="A81" s="307"/>
      <c r="B81" s="258" t="s">
        <v>204</v>
      </c>
      <c r="C81" s="290"/>
      <c r="D81" s="325"/>
      <c r="E81" s="326"/>
      <c r="F81" s="258"/>
      <c r="G81" s="258"/>
      <c r="H81" s="258"/>
      <c r="I81" s="258"/>
      <c r="J81" s="258"/>
      <c r="K81" s="256"/>
      <c r="L81" s="258"/>
      <c r="M81" s="260">
        <f>2875+6-1701</f>
        <v>1180</v>
      </c>
      <c r="N81" s="264"/>
      <c r="O81" s="6"/>
    </row>
    <row r="82" spans="1:16" ht="15.6" x14ac:dyDescent="0.3">
      <c r="A82" s="307"/>
      <c r="B82" s="258" t="s">
        <v>205</v>
      </c>
      <c r="C82" s="290"/>
      <c r="D82" s="325"/>
      <c r="E82" s="326"/>
      <c r="F82" s="258"/>
      <c r="G82" s="258"/>
      <c r="H82" s="258"/>
      <c r="I82" s="258"/>
      <c r="J82" s="258"/>
      <c r="K82" s="256"/>
      <c r="L82" s="258"/>
      <c r="M82" s="260">
        <v>71</v>
      </c>
      <c r="N82" s="264"/>
      <c r="O82" s="6"/>
    </row>
    <row r="83" spans="1:16" ht="15.6" x14ac:dyDescent="0.3">
      <c r="A83" s="307"/>
      <c r="B83" s="258" t="s">
        <v>206</v>
      </c>
      <c r="C83" s="290"/>
      <c r="D83" s="325"/>
      <c r="E83" s="326"/>
      <c r="F83" s="258"/>
      <c r="G83" s="258"/>
      <c r="H83" s="258"/>
      <c r="I83" s="258"/>
      <c r="J83" s="258"/>
      <c r="K83" s="256"/>
      <c r="L83" s="258"/>
      <c r="M83" s="260">
        <v>19</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2594</v>
      </c>
      <c r="L85" s="258"/>
      <c r="M85" s="256">
        <f>SUM(M79:M84)</f>
        <v>1270</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2594</v>
      </c>
      <c r="L87" s="258"/>
      <c r="M87" s="256">
        <f>M85+M86</f>
        <v>1270</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-21-17-1</f>
        <v>-39</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-58</v>
      </c>
      <c r="N93" s="311"/>
      <c r="O93" s="6"/>
    </row>
    <row r="94" spans="1:16" ht="15.6" x14ac:dyDescent="0.3">
      <c r="A94" s="255">
        <v>5</v>
      </c>
      <c r="B94" s="258" t="s">
        <v>52</v>
      </c>
      <c r="C94" s="258"/>
      <c r="D94" s="258"/>
      <c r="E94" s="258"/>
      <c r="F94" s="258"/>
      <c r="G94" s="258"/>
      <c r="H94" s="258"/>
      <c r="I94" s="258"/>
      <c r="J94" s="258"/>
      <c r="K94" s="258"/>
      <c r="L94" s="258"/>
      <c r="M94" s="260">
        <v>-72</v>
      </c>
      <c r="N94" s="311"/>
      <c r="O94" s="6"/>
    </row>
    <row r="95" spans="1:16" ht="15.6" x14ac:dyDescent="0.3">
      <c r="A95" s="255">
        <v>6</v>
      </c>
      <c r="B95" s="258" t="s">
        <v>172</v>
      </c>
      <c r="C95" s="258"/>
      <c r="D95" s="258"/>
      <c r="E95" s="258"/>
      <c r="F95" s="258"/>
      <c r="G95" s="258"/>
      <c r="H95" s="258"/>
      <c r="I95" s="258"/>
      <c r="J95" s="258"/>
      <c r="K95" s="258"/>
      <c r="L95" s="258"/>
      <c r="M95" s="260">
        <v>-59</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60</v>
      </c>
      <c r="L97" s="258"/>
      <c r="M97" s="260">
        <v>-60</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-20</v>
      </c>
      <c r="N101" s="311"/>
      <c r="O101" s="6"/>
    </row>
    <row r="102" spans="1:16" ht="15.6" x14ac:dyDescent="0.3">
      <c r="A102" s="255">
        <v>13</v>
      </c>
      <c r="B102" s="258" t="s">
        <v>195</v>
      </c>
      <c r="C102" s="258"/>
      <c r="D102" s="258"/>
      <c r="E102" s="258"/>
      <c r="F102" s="258"/>
      <c r="G102" s="258"/>
      <c r="H102" s="258"/>
      <c r="I102" s="258"/>
      <c r="J102" s="258"/>
      <c r="K102" s="258"/>
      <c r="L102" s="258"/>
      <c r="M102" s="260">
        <f>-M87-SUM(M89:M101)</f>
        <v>-953</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-1430</v>
      </c>
      <c r="L107" s="256"/>
      <c r="M107" s="260"/>
      <c r="N107" s="311"/>
      <c r="O107" s="6"/>
    </row>
    <row r="108" spans="1:16" ht="15.6" x14ac:dyDescent="0.3">
      <c r="A108" s="307"/>
      <c r="B108" s="258" t="s">
        <v>59</v>
      </c>
      <c r="C108" s="258"/>
      <c r="D108" s="258"/>
      <c r="E108" s="258"/>
      <c r="F108" s="258"/>
      <c r="G108" s="258"/>
      <c r="H108" s="258"/>
      <c r="I108" s="258"/>
      <c r="J108" s="258"/>
      <c r="K108" s="256">
        <v>-745</v>
      </c>
      <c r="L108" s="256"/>
      <c r="M108" s="260"/>
      <c r="N108" s="311"/>
      <c r="O108" s="6"/>
    </row>
    <row r="109" spans="1:16" ht="15.6" x14ac:dyDescent="0.3">
      <c r="A109" s="307"/>
      <c r="B109" s="258" t="s">
        <v>186</v>
      </c>
      <c r="C109" s="258"/>
      <c r="D109" s="258"/>
      <c r="E109" s="258"/>
      <c r="F109" s="258"/>
      <c r="G109" s="258"/>
      <c r="H109" s="258"/>
      <c r="I109" s="258"/>
      <c r="J109" s="258"/>
      <c r="K109" s="256">
        <v>-479</v>
      </c>
      <c r="L109" s="256"/>
      <c r="M109" s="260"/>
      <c r="N109" s="311"/>
      <c r="O109" s="6"/>
    </row>
    <row r="110" spans="1:16" ht="15.6" x14ac:dyDescent="0.3">
      <c r="A110" s="307"/>
      <c r="B110" s="258" t="s">
        <v>60</v>
      </c>
      <c r="C110" s="258"/>
      <c r="D110" s="258"/>
      <c r="E110" s="258"/>
      <c r="F110" s="258"/>
      <c r="G110" s="258"/>
      <c r="H110" s="258"/>
      <c r="I110" s="258"/>
      <c r="J110" s="258"/>
      <c r="K110" s="256">
        <f>+K105+K106+K107+K108+K109</f>
        <v>-2654</v>
      </c>
      <c r="L110" s="256"/>
      <c r="M110" s="256">
        <f>SUM(M88:M109)</f>
        <v>-1270</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OCTOBER 2016</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-39</v>
      </c>
      <c r="N139" s="264"/>
      <c r="O139" s="6"/>
    </row>
    <row r="140" spans="1:15" ht="15.6" x14ac:dyDescent="0.3">
      <c r="A140" s="307"/>
      <c r="B140" s="258" t="s">
        <v>180</v>
      </c>
      <c r="C140" s="258"/>
      <c r="D140" s="258"/>
      <c r="E140" s="258"/>
      <c r="F140" s="258"/>
      <c r="G140" s="258"/>
      <c r="H140" s="258"/>
      <c r="I140" s="258"/>
      <c r="J140" s="258"/>
      <c r="K140" s="258"/>
      <c r="L140" s="258"/>
      <c r="M140" s="260">
        <f>111-12</f>
        <v>99</v>
      </c>
      <c r="N140" s="264"/>
      <c r="O140" s="6"/>
    </row>
    <row r="141" spans="1:15" ht="15.6" x14ac:dyDescent="0.3">
      <c r="A141" s="307"/>
      <c r="B141" s="258" t="s">
        <v>77</v>
      </c>
      <c r="C141" s="258"/>
      <c r="D141" s="258"/>
      <c r="E141" s="258"/>
      <c r="F141" s="258"/>
      <c r="G141" s="258"/>
      <c r="H141" s="258"/>
      <c r="I141" s="258"/>
      <c r="J141" s="258"/>
      <c r="K141" s="258"/>
      <c r="L141" s="258"/>
      <c r="M141" s="260">
        <f>M139+M138+M140</f>
        <v>60</v>
      </c>
      <c r="N141" s="264"/>
      <c r="O141" s="6"/>
    </row>
    <row r="142" spans="1:15" ht="15.6" x14ac:dyDescent="0.3">
      <c r="A142" s="307"/>
      <c r="B142" s="258" t="s">
        <v>183</v>
      </c>
      <c r="C142" s="258"/>
      <c r="D142" s="258"/>
      <c r="E142" s="258"/>
      <c r="F142" s="258"/>
      <c r="G142" s="258"/>
      <c r="H142" s="258"/>
      <c r="I142" s="303"/>
      <c r="J142" s="258"/>
      <c r="K142" s="258"/>
      <c r="L142" s="258"/>
      <c r="M142" s="260">
        <f>M97</f>
        <v>-60</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51709</v>
      </c>
      <c r="N148" s="318"/>
      <c r="O148" s="6"/>
      <c r="P148" s="117"/>
    </row>
    <row r="149" spans="1:16" ht="15.6" x14ac:dyDescent="0.3">
      <c r="A149" s="307"/>
      <c r="B149" s="258" t="s">
        <v>80</v>
      </c>
      <c r="C149" s="319"/>
      <c r="D149" s="319"/>
      <c r="E149" s="258"/>
      <c r="F149" s="258"/>
      <c r="G149" s="258"/>
      <c r="H149" s="258"/>
      <c r="I149" s="258"/>
      <c r="J149" s="258"/>
      <c r="K149" s="258"/>
      <c r="L149" s="258"/>
      <c r="M149" s="260">
        <f>M75</f>
        <v>51709</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+'July 16'!I156</f>
        <v>7636</v>
      </c>
      <c r="J154" s="258"/>
      <c r="K154" s="260">
        <f>+'July 16'!K156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21.189655172413794</v>
      </c>
      <c r="N161" s="264" t="s">
        <v>145</v>
      </c>
      <c r="O161" s="6"/>
    </row>
    <row r="162" spans="1:15" ht="15.6" x14ac:dyDescent="0.3">
      <c r="A162" s="307"/>
      <c r="B162" s="258" t="s">
        <v>89</v>
      </c>
      <c r="C162" s="258"/>
      <c r="D162" s="258"/>
      <c r="E162" s="258"/>
      <c r="F162" s="258"/>
      <c r="G162" s="258"/>
      <c r="H162" s="258"/>
      <c r="I162" s="258"/>
      <c r="J162" s="258"/>
      <c r="K162" s="258"/>
      <c r="L162" s="258"/>
      <c r="M162" s="309">
        <v>3.78</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16.263888888888889</v>
      </c>
      <c r="N163" s="264" t="s">
        <v>145</v>
      </c>
      <c r="O163" s="6"/>
    </row>
    <row r="164" spans="1:15" ht="15.6" x14ac:dyDescent="0.3">
      <c r="A164" s="307"/>
      <c r="B164" s="258" t="s">
        <v>91</v>
      </c>
      <c r="C164" s="258"/>
      <c r="D164" s="258"/>
      <c r="E164" s="258"/>
      <c r="F164" s="258"/>
      <c r="G164" s="258"/>
      <c r="H164" s="258"/>
      <c r="I164" s="258"/>
      <c r="J164" s="258"/>
      <c r="K164" s="258"/>
      <c r="L164" s="258"/>
      <c r="M164" s="310">
        <v>10.050000000000001</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18.627118644067796</v>
      </c>
      <c r="N165" s="264" t="s">
        <v>145</v>
      </c>
      <c r="O165" s="6"/>
    </row>
    <row r="166" spans="1:15" ht="15.6" x14ac:dyDescent="0.3">
      <c r="A166" s="307"/>
      <c r="B166" s="258" t="s">
        <v>182</v>
      </c>
      <c r="C166" s="258"/>
      <c r="D166" s="258"/>
      <c r="E166" s="258"/>
      <c r="F166" s="258"/>
      <c r="G166" s="258"/>
      <c r="H166" s="258"/>
      <c r="I166" s="258"/>
      <c r="J166" s="258"/>
      <c r="K166" s="258"/>
      <c r="L166" s="258"/>
      <c r="M166" s="310">
        <v>12.79</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OCTOBER 2016</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42674</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9.5000000000000001E-2</v>
      </c>
      <c r="L176" s="258"/>
      <c r="M176" s="258"/>
      <c r="N176" s="264"/>
      <c r="O176" s="6"/>
    </row>
    <row r="177" spans="1:15" ht="15.6" x14ac:dyDescent="0.3">
      <c r="A177" s="301"/>
      <c r="B177" s="258" t="s">
        <v>97</v>
      </c>
      <c r="C177" s="302"/>
      <c r="D177" s="302"/>
      <c r="E177" s="302"/>
      <c r="F177" s="302"/>
      <c r="G177" s="302"/>
      <c r="H177" s="303"/>
      <c r="I177" s="303"/>
      <c r="J177" s="303"/>
      <c r="K177" s="304">
        <f>M36</f>
        <v>1.3829216127142156E-2</v>
      </c>
      <c r="L177" s="258"/>
      <c r="M177" s="258"/>
      <c r="N177" s="264"/>
      <c r="O177" s="6"/>
    </row>
    <row r="178" spans="1:15" ht="15.6" x14ac:dyDescent="0.3">
      <c r="A178" s="301"/>
      <c r="B178" s="258" t="s">
        <v>98</v>
      </c>
      <c r="C178" s="302"/>
      <c r="D178" s="302"/>
      <c r="E178" s="302"/>
      <c r="F178" s="302"/>
      <c r="G178" s="302"/>
      <c r="H178" s="303"/>
      <c r="I178" s="303"/>
      <c r="J178" s="303"/>
      <c r="K178" s="304">
        <f>K176-K177</f>
        <v>8.1170783872857838E-2</v>
      </c>
      <c r="L178" s="258"/>
      <c r="M178" s="258"/>
      <c r="N178" s="264"/>
      <c r="O178" s="6"/>
    </row>
    <row r="179" spans="1:15" ht="15.6" x14ac:dyDescent="0.3">
      <c r="A179" s="301"/>
      <c r="B179" s="258" t="s">
        <v>211</v>
      </c>
      <c r="C179" s="302"/>
      <c r="D179" s="302"/>
      <c r="E179" s="302"/>
      <c r="F179" s="302"/>
      <c r="G179" s="302"/>
      <c r="H179" s="303"/>
      <c r="I179" s="303"/>
      <c r="J179" s="303"/>
      <c r="K179" s="304">
        <f>(+M87+M89)/E58</f>
        <v>2.3361477475488845E-2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10.64</v>
      </c>
      <c r="L184" s="258" t="s">
        <v>139</v>
      </c>
      <c r="M184" s="258"/>
      <c r="N184" s="264"/>
      <c r="O184" s="6"/>
    </row>
    <row r="185" spans="1:15" ht="15.6" x14ac:dyDescent="0.3">
      <c r="A185" s="301"/>
      <c r="B185" s="258" t="s">
        <v>103</v>
      </c>
      <c r="C185" s="302"/>
      <c r="D185" s="302"/>
      <c r="E185" s="302"/>
      <c r="F185" s="302"/>
      <c r="G185" s="302"/>
      <c r="H185" s="303"/>
      <c r="I185" s="303"/>
      <c r="J185" s="303"/>
      <c r="K185" s="304">
        <f>K80/E58</f>
        <v>4.7716277615289814E-2</v>
      </c>
      <c r="L185" s="258"/>
      <c r="M185" s="258"/>
      <c r="N185" s="264"/>
      <c r="O185" s="6"/>
    </row>
    <row r="186" spans="1:15" ht="15.6" x14ac:dyDescent="0.3">
      <c r="A186" s="301"/>
      <c r="B186" s="258" t="s">
        <v>104</v>
      </c>
      <c r="C186" s="302"/>
      <c r="D186" s="302"/>
      <c r="E186" s="302"/>
      <c r="F186" s="302"/>
      <c r="G186" s="302"/>
      <c r="H186" s="303"/>
      <c r="I186" s="303"/>
      <c r="J186" s="303"/>
      <c r="K186" s="304">
        <v>0.224</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78">
        <v>338</v>
      </c>
      <c r="K189" s="379">
        <v>6859</v>
      </c>
      <c r="L189" s="217"/>
      <c r="M189" s="229"/>
      <c r="N189" s="230"/>
      <c r="O189" s="6"/>
    </row>
    <row r="190" spans="1:15" ht="15.6" x14ac:dyDescent="0.3">
      <c r="A190" s="275"/>
      <c r="B190" s="258" t="s">
        <v>196</v>
      </c>
      <c r="C190" s="256"/>
      <c r="D190" s="256"/>
      <c r="E190" s="256"/>
      <c r="F190" s="256"/>
      <c r="G190" s="258"/>
      <c r="H190" s="258"/>
      <c r="I190" s="258"/>
      <c r="J190" s="380">
        <v>0</v>
      </c>
      <c r="K190" s="381">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60</v>
      </c>
      <c r="L194" s="258"/>
      <c r="M194" s="281"/>
      <c r="N194" s="286"/>
      <c r="O194" s="6"/>
    </row>
    <row r="195" spans="1:15" ht="15.6" x14ac:dyDescent="0.3">
      <c r="A195" s="275"/>
      <c r="B195" s="258" t="s">
        <v>111</v>
      </c>
      <c r="C195" s="256"/>
      <c r="D195" s="256"/>
      <c r="E195" s="256"/>
      <c r="F195" s="256"/>
      <c r="G195" s="256"/>
      <c r="H195" s="258"/>
      <c r="I195" s="258"/>
      <c r="J195" s="258"/>
      <c r="K195" s="375">
        <f>'July 16'!K195+'Oct 16'!K194</f>
        <v>37280</v>
      </c>
      <c r="L195" s="258"/>
      <c r="M195" s="281"/>
      <c r="N195" s="286"/>
      <c r="O195" s="6"/>
    </row>
    <row r="196" spans="1:15" ht="15.6" x14ac:dyDescent="0.3">
      <c r="A196" s="275"/>
      <c r="B196" s="258" t="s">
        <v>112</v>
      </c>
      <c r="C196" s="256"/>
      <c r="D196" s="256"/>
      <c r="E196" s="256"/>
      <c r="F196" s="256"/>
      <c r="G196" s="256"/>
      <c r="H196" s="258"/>
      <c r="I196" s="258"/>
      <c r="J196" s="258"/>
      <c r="K196" s="375">
        <f>'July 16'!K196+396</f>
        <v>16158</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2</v>
      </c>
      <c r="L198" s="258"/>
      <c r="M198" s="261"/>
      <c r="N198" s="286"/>
      <c r="O198" s="6"/>
    </row>
    <row r="199" spans="1:15" ht="15.6" x14ac:dyDescent="0.3">
      <c r="A199" s="275"/>
      <c r="B199" s="258" t="s">
        <v>113</v>
      </c>
      <c r="C199" s="256"/>
      <c r="D199" s="256"/>
      <c r="E199" s="290"/>
      <c r="F199" s="290"/>
      <c r="G199" s="291"/>
      <c r="H199" s="258"/>
      <c r="I199" s="258"/>
      <c r="J199" s="258"/>
      <c r="K199" s="376">
        <v>23.31</v>
      </c>
      <c r="L199" s="258"/>
      <c r="M199" s="261"/>
      <c r="N199" s="286"/>
      <c r="O199" s="6"/>
    </row>
    <row r="200" spans="1:15" ht="15.6" x14ac:dyDescent="0.3">
      <c r="A200" s="275"/>
      <c r="B200" s="258" t="s">
        <v>114</v>
      </c>
      <c r="C200" s="256"/>
      <c r="D200" s="256"/>
      <c r="E200" s="290"/>
      <c r="F200" s="290"/>
      <c r="G200" s="291"/>
      <c r="H200" s="258"/>
      <c r="I200" s="258"/>
      <c r="J200" s="258"/>
      <c r="K200" s="376">
        <v>27.34</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2382</v>
      </c>
      <c r="J205" s="232">
        <f>I205/I213</f>
        <v>0.87573529411764706</v>
      </c>
      <c r="K205" s="221">
        <v>44850</v>
      </c>
      <c r="L205" s="232">
        <f>K205/K213</f>
        <v>0.86735384555880024</v>
      </c>
      <c r="M205" s="228"/>
      <c r="N205" s="218"/>
      <c r="O205" s="6"/>
    </row>
    <row r="206" spans="1:15" ht="15.6" x14ac:dyDescent="0.3">
      <c r="A206" s="255"/>
      <c r="B206" s="256" t="s">
        <v>117</v>
      </c>
      <c r="C206" s="257"/>
      <c r="D206" s="257"/>
      <c r="E206" s="256"/>
      <c r="F206" s="257"/>
      <c r="G206" s="258"/>
      <c r="H206" s="259"/>
      <c r="I206" s="256">
        <v>67</v>
      </c>
      <c r="J206" s="259">
        <f>I206/I213</f>
        <v>2.463235294117647E-2</v>
      </c>
      <c r="K206" s="260">
        <v>1257</v>
      </c>
      <c r="L206" s="259">
        <f>K206/K213</f>
        <v>2.4309114467500822E-2</v>
      </c>
      <c r="M206" s="261"/>
      <c r="N206" s="263"/>
      <c r="O206" s="6"/>
    </row>
    <row r="207" spans="1:15" ht="15.6" x14ac:dyDescent="0.3">
      <c r="A207" s="255"/>
      <c r="B207" s="256" t="s">
        <v>118</v>
      </c>
      <c r="C207" s="257"/>
      <c r="D207" s="257"/>
      <c r="E207" s="256"/>
      <c r="F207" s="257"/>
      <c r="G207" s="256"/>
      <c r="H207" s="259"/>
      <c r="I207" s="256">
        <v>43</v>
      </c>
      <c r="J207" s="259">
        <f>I207/I213</f>
        <v>1.5808823529411764E-2</v>
      </c>
      <c r="K207" s="260">
        <v>811</v>
      </c>
      <c r="L207" s="259">
        <f>K207/K213</f>
        <v>1.5683923494942853E-2</v>
      </c>
      <c r="M207" s="374"/>
      <c r="N207" s="263"/>
      <c r="O207" s="6"/>
    </row>
    <row r="208" spans="1:15" ht="15.6" x14ac:dyDescent="0.3">
      <c r="A208" s="255"/>
      <c r="B208" s="256" t="s">
        <v>167</v>
      </c>
      <c r="C208" s="257"/>
      <c r="D208" s="257"/>
      <c r="E208" s="256"/>
      <c r="F208" s="257"/>
      <c r="G208" s="256"/>
      <c r="H208" s="259"/>
      <c r="I208" s="256">
        <v>39</v>
      </c>
      <c r="J208" s="259">
        <f>I208/I213</f>
        <v>1.4338235294117646E-2</v>
      </c>
      <c r="K208" s="260">
        <v>760</v>
      </c>
      <c r="L208" s="259">
        <f>K208/K213</f>
        <v>1.469763484113017E-2</v>
      </c>
      <c r="M208" s="374"/>
      <c r="N208" s="263"/>
      <c r="O208" s="6"/>
    </row>
    <row r="209" spans="1:15" ht="15.6" x14ac:dyDescent="0.3">
      <c r="A209" s="255"/>
      <c r="B209" s="256" t="s">
        <v>168</v>
      </c>
      <c r="C209" s="257"/>
      <c r="D209" s="257"/>
      <c r="E209" s="256"/>
      <c r="F209" s="257"/>
      <c r="G209" s="258"/>
      <c r="H209" s="259"/>
      <c r="I209" s="256">
        <v>32</v>
      </c>
      <c r="J209" s="259">
        <f>I209/I213</f>
        <v>1.1764705882352941E-2</v>
      </c>
      <c r="K209" s="260">
        <v>639</v>
      </c>
      <c r="L209" s="259">
        <f>K209/K213</f>
        <v>1.2357616662476551E-2</v>
      </c>
      <c r="M209" s="374"/>
      <c r="N209" s="263"/>
      <c r="O209" s="6"/>
    </row>
    <row r="210" spans="1:15" ht="15.6" x14ac:dyDescent="0.3">
      <c r="A210" s="255"/>
      <c r="B210" s="256" t="s">
        <v>169</v>
      </c>
      <c r="C210" s="257"/>
      <c r="D210" s="257"/>
      <c r="E210" s="256"/>
      <c r="F210" s="257"/>
      <c r="G210" s="258"/>
      <c r="H210" s="259"/>
      <c r="I210" s="256">
        <v>33</v>
      </c>
      <c r="J210" s="259">
        <f>I210/I213</f>
        <v>1.2132352941176471E-2</v>
      </c>
      <c r="K210" s="260">
        <v>643</v>
      </c>
      <c r="L210" s="259">
        <f>K210/K213</f>
        <v>1.2434972635324604E-2</v>
      </c>
      <c r="M210" s="374"/>
      <c r="N210" s="262"/>
      <c r="O210" s="6"/>
    </row>
    <row r="211" spans="1:15" ht="15.6" x14ac:dyDescent="0.3">
      <c r="A211" s="255"/>
      <c r="B211" s="256" t="s">
        <v>176</v>
      </c>
      <c r="C211" s="257"/>
      <c r="D211" s="257"/>
      <c r="E211" s="256"/>
      <c r="F211" s="257"/>
      <c r="G211" s="258"/>
      <c r="H211" s="259"/>
      <c r="I211" s="256">
        <v>67</v>
      </c>
      <c r="J211" s="259">
        <f>I211/I213</f>
        <v>2.463235294117647E-2</v>
      </c>
      <c r="K211" s="260">
        <v>1579</v>
      </c>
      <c r="L211" s="259">
        <f>K211/K213</f>
        <v>3.053627028176913E-2</v>
      </c>
      <c r="M211" s="261"/>
      <c r="N211" s="263"/>
      <c r="O211" s="6"/>
    </row>
    <row r="212" spans="1:15" ht="15.6" x14ac:dyDescent="0.3">
      <c r="A212" s="255"/>
      <c r="B212" s="256" t="s">
        <v>202</v>
      </c>
      <c r="C212" s="257"/>
      <c r="D212" s="257"/>
      <c r="E212" s="256"/>
      <c r="F212" s="257"/>
      <c r="G212" s="258"/>
      <c r="H212" s="259"/>
      <c r="I212" s="256">
        <v>57</v>
      </c>
      <c r="J212" s="259">
        <f>+I212/I213</f>
        <v>2.0955882352941175E-2</v>
      </c>
      <c r="K212" s="260">
        <v>1170</v>
      </c>
      <c r="L212" s="259">
        <f>+K212/K213</f>
        <v>2.2626622058055657E-2</v>
      </c>
      <c r="M212" s="261"/>
      <c r="N212" s="263"/>
      <c r="O212" s="6"/>
    </row>
    <row r="213" spans="1:15" ht="15.6" x14ac:dyDescent="0.3">
      <c r="A213" s="255"/>
      <c r="B213" s="258" t="s">
        <v>189</v>
      </c>
      <c r="C213" s="258"/>
      <c r="D213" s="258"/>
      <c r="E213" s="258"/>
      <c r="F213" s="258"/>
      <c r="G213" s="256"/>
      <c r="H213" s="258"/>
      <c r="I213" s="256">
        <f>SUM(I205:I212)</f>
        <v>2720</v>
      </c>
      <c r="J213" s="259">
        <f>SUM(J205:J212)</f>
        <v>1</v>
      </c>
      <c r="K213" s="260">
        <f>SUM(K205:K212)</f>
        <v>51709</v>
      </c>
      <c r="L213" s="259">
        <f>SUM(L205:L212)</f>
        <v>1</v>
      </c>
      <c r="M213" s="258"/>
      <c r="N213" s="264"/>
      <c r="O213" s="6"/>
    </row>
    <row r="214" spans="1:15" ht="15.6" x14ac:dyDescent="0.3">
      <c r="A214" s="255"/>
      <c r="B214" s="256" t="s">
        <v>170</v>
      </c>
      <c r="C214" s="257"/>
      <c r="D214" s="257"/>
      <c r="E214" s="256"/>
      <c r="F214" s="257"/>
      <c r="G214" s="256"/>
      <c r="H214" s="259"/>
      <c r="I214" s="256">
        <v>283</v>
      </c>
      <c r="J214" s="259"/>
      <c r="K214" s="260">
        <v>7921</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1.0125999999999999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261</v>
      </c>
      <c r="C220" s="208"/>
      <c r="D220" s="208"/>
      <c r="E220" s="208"/>
      <c r="F220" s="235" t="s">
        <v>219</v>
      </c>
      <c r="G220" s="208"/>
      <c r="H220" s="208" t="s">
        <v>220</v>
      </c>
      <c r="I220" s="216"/>
      <c r="J220" s="216"/>
      <c r="K220" s="216"/>
      <c r="L220" s="216"/>
      <c r="M220" s="216"/>
      <c r="N220" s="216"/>
      <c r="O220" s="6"/>
    </row>
    <row r="221" spans="1:15" ht="15.6" x14ac:dyDescent="0.3">
      <c r="A221" s="233"/>
      <c r="B221" s="208" t="s">
        <v>262</v>
      </c>
      <c r="C221" s="208"/>
      <c r="D221" s="208"/>
      <c r="E221" s="208"/>
      <c r="F221" s="235" t="s">
        <v>222</v>
      </c>
      <c r="G221" s="208"/>
      <c r="H221" s="208" t="s">
        <v>223</v>
      </c>
      <c r="I221" s="216"/>
      <c r="J221" s="216"/>
      <c r="K221" s="216"/>
      <c r="L221" s="216"/>
      <c r="M221" s="216"/>
      <c r="N221" s="216"/>
      <c r="O221" s="6"/>
    </row>
    <row r="222" spans="1:15" ht="15.6" x14ac:dyDescent="0.3">
      <c r="A222" s="233"/>
      <c r="B222" s="208" t="s">
        <v>263</v>
      </c>
      <c r="C222" s="208"/>
      <c r="D222" s="208"/>
      <c r="E222" s="208"/>
      <c r="F222" s="235" t="s">
        <v>225</v>
      </c>
      <c r="G222" s="208"/>
      <c r="H222" s="208" t="s">
        <v>226</v>
      </c>
      <c r="I222" s="216"/>
      <c r="J222" s="216"/>
      <c r="K222" s="216"/>
      <c r="L222" s="216"/>
      <c r="M222" s="216"/>
      <c r="N222" s="216"/>
      <c r="O222" s="6"/>
    </row>
    <row r="223" spans="1:15" ht="15.6" x14ac:dyDescent="0.3">
      <c r="A223" s="233"/>
      <c r="B223" s="208"/>
      <c r="C223" s="236"/>
      <c r="D223" s="236"/>
      <c r="E223" s="211"/>
      <c r="F223" s="208"/>
      <c r="G223" s="208"/>
      <c r="H223" s="236"/>
      <c r="I223" s="236"/>
      <c r="J223" s="216"/>
      <c r="K223" s="216"/>
      <c r="L223" s="216"/>
      <c r="M223" s="216"/>
      <c r="N223" s="216"/>
      <c r="O223" s="6"/>
    </row>
    <row r="224" spans="1:15" ht="18" thickBot="1" x14ac:dyDescent="0.35">
      <c r="A224" s="233"/>
      <c r="B224" s="237" t="str">
        <f>B170</f>
        <v>PSF1 INVESTOR REPORT QUARTER ENDING OCTOBER 2016</v>
      </c>
      <c r="C224" s="236"/>
      <c r="D224" s="236"/>
      <c r="E224" s="211"/>
      <c r="F224" s="208"/>
      <c r="G224" s="208"/>
      <c r="H224" s="236"/>
      <c r="I224" s="236"/>
      <c r="J224" s="216"/>
      <c r="K224" s="216"/>
      <c r="L224" s="216"/>
      <c r="M224" s="216"/>
      <c r="N224" s="216"/>
      <c r="O224" s="6"/>
    </row>
    <row r="225" spans="1:14" x14ac:dyDescent="0.25">
      <c r="A225" s="108"/>
      <c r="B225" s="108"/>
      <c r="C225" s="108"/>
      <c r="D225" s="108"/>
      <c r="E225" s="108"/>
      <c r="F225" s="108"/>
      <c r="G225" s="108"/>
      <c r="H225" s="108"/>
      <c r="I225" s="108"/>
      <c r="J225" s="108"/>
      <c r="K225" s="108"/>
      <c r="L225" s="108"/>
      <c r="M225" s="108"/>
      <c r="N225" s="108"/>
    </row>
    <row r="227" spans="1:14" x14ac:dyDescent="0.25">
      <c r="I227" s="117"/>
    </row>
  </sheetData>
  <hyperlinks>
    <hyperlink ref="I10" r:id="rId1" xr:uid="{00000000-0004-0000-2E00-000000000000}"/>
    <hyperlink ref="K202" r:id="rId2" xr:uid="{00000000-0004-0000-2E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4" max="14" man="1"/>
    <brk id="170" max="14" man="1"/>
  </rowBreaks>
  <colBreaks count="1" manualBreakCount="1">
    <brk id="14" max="224" man="1"/>
  </col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179687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42782</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277</v>
      </c>
      <c r="F26" s="341"/>
      <c r="G26" s="341" t="s">
        <v>278</v>
      </c>
      <c r="H26" s="342"/>
      <c r="I26" s="342"/>
      <c r="J26" s="338"/>
      <c r="K26" s="338"/>
      <c r="L26" s="339"/>
      <c r="M26" s="339"/>
      <c r="N26" s="311"/>
      <c r="O26" s="6"/>
    </row>
    <row r="27" spans="1:15" ht="15.6" x14ac:dyDescent="0.3">
      <c r="A27" s="340"/>
      <c r="B27" s="319" t="s">
        <v>12</v>
      </c>
      <c r="C27" s="341" t="s">
        <v>254</v>
      </c>
      <c r="D27" s="341"/>
      <c r="E27" s="341" t="s">
        <v>272</v>
      </c>
      <c r="F27" s="341"/>
      <c r="G27" s="341" t="s">
        <v>273</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27871.074000000001</v>
      </c>
      <c r="D31" s="345"/>
      <c r="E31" s="344">
        <f>E30*E34</f>
        <v>14509.74</v>
      </c>
      <c r="F31" s="344"/>
      <c r="G31" s="344">
        <f>G30*G34</f>
        <v>9327.6954000000005</v>
      </c>
      <c r="H31" s="346"/>
      <c r="I31" s="346"/>
      <c r="J31" s="346"/>
      <c r="K31" s="346"/>
      <c r="L31" s="347"/>
      <c r="M31" s="344">
        <f>C31+E31+G31</f>
        <v>51708.509399999995</v>
      </c>
      <c r="N31" s="348"/>
      <c r="O31" s="6"/>
    </row>
    <row r="32" spans="1:15" ht="15.6" x14ac:dyDescent="0.3">
      <c r="A32" s="340"/>
      <c r="B32" s="319" t="s">
        <v>16</v>
      </c>
      <c r="C32" s="349">
        <f>C30*C33</f>
        <v>26445.480600000003</v>
      </c>
      <c r="D32" s="350"/>
      <c r="E32" s="349">
        <f>E30*E33</f>
        <v>13767.558000000001</v>
      </c>
      <c r="F32" s="349"/>
      <c r="G32" s="349">
        <f>G30*G33</f>
        <v>8850.5784000000003</v>
      </c>
      <c r="H32" s="351"/>
      <c r="I32" s="351"/>
      <c r="J32" s="351"/>
      <c r="K32" s="351"/>
      <c r="L32" s="352"/>
      <c r="M32" s="344">
        <f>C32+E32+G32</f>
        <v>49063.616999999998</v>
      </c>
      <c r="N32" s="348"/>
      <c r="O32" s="6"/>
    </row>
    <row r="33" spans="1:15" ht="15.6" x14ac:dyDescent="0.3">
      <c r="A33" s="340"/>
      <c r="B33" s="278" t="s">
        <v>174</v>
      </c>
      <c r="C33" s="371">
        <v>0.1144826</v>
      </c>
      <c r="D33" s="372"/>
      <c r="E33" s="371">
        <v>0.32779900000000001</v>
      </c>
      <c r="F33" s="371"/>
      <c r="G33" s="371">
        <v>0.32779920000000001</v>
      </c>
      <c r="H33" s="373"/>
      <c r="I33" s="373"/>
      <c r="J33" s="351"/>
      <c r="K33" s="351"/>
      <c r="L33" s="352"/>
      <c r="M33" s="351"/>
      <c r="N33" s="348"/>
      <c r="O33" s="6"/>
    </row>
    <row r="34" spans="1:15" ht="15.6" x14ac:dyDescent="0.3">
      <c r="A34" s="340"/>
      <c r="B34" s="278" t="s">
        <v>175</v>
      </c>
      <c r="C34" s="371">
        <v>0.120654</v>
      </c>
      <c r="D34" s="372"/>
      <c r="E34" s="371">
        <v>0.34547</v>
      </c>
      <c r="F34" s="371"/>
      <c r="G34" s="371">
        <v>0.34547020000000001</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7.9775000000000002E-3</v>
      </c>
      <c r="D36" s="258"/>
      <c r="E36" s="356">
        <v>1.8977500000000001E-2</v>
      </c>
      <c r="F36" s="304"/>
      <c r="G36" s="356">
        <v>2.3977499999999999E-2</v>
      </c>
      <c r="H36" s="304"/>
      <c r="I36" s="356"/>
      <c r="J36" s="304"/>
      <c r="K36" s="356"/>
      <c r="L36" s="321"/>
      <c r="M36" s="304">
        <f>SUMPRODUCT(C36:G36,C31:G31)/M31</f>
        <v>1.3950409874675291E-2</v>
      </c>
      <c r="N36" s="264"/>
      <c r="O36" s="6"/>
    </row>
    <row r="37" spans="1:15" ht="15.6" x14ac:dyDescent="0.3">
      <c r="A37" s="307"/>
      <c r="B37" s="258" t="s">
        <v>19</v>
      </c>
      <c r="C37" s="356">
        <v>7.8563000000000001E-3</v>
      </c>
      <c r="D37" s="258"/>
      <c r="E37" s="356">
        <v>1.8856299999999999E-2</v>
      </c>
      <c r="F37" s="304"/>
      <c r="G37" s="356">
        <v>2.38563E-2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0.85527416733731054</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42781</v>
      </c>
      <c r="N47" s="264"/>
      <c r="O47" s="6"/>
    </row>
    <row r="48" spans="1:15" ht="15.6" x14ac:dyDescent="0.3">
      <c r="A48" s="307"/>
      <c r="B48" s="258" t="s">
        <v>26</v>
      </c>
      <c r="C48" s="258"/>
      <c r="D48" s="258"/>
      <c r="E48" s="258"/>
      <c r="F48" s="258"/>
      <c r="G48" s="258"/>
      <c r="H48" s="258"/>
      <c r="I48" s="258"/>
      <c r="J48" s="258">
        <f>M48-K48+1</f>
        <v>92</v>
      </c>
      <c r="K48" s="360">
        <v>42597</v>
      </c>
      <c r="L48" s="361"/>
      <c r="M48" s="360">
        <v>42688</v>
      </c>
      <c r="N48" s="264"/>
      <c r="O48" s="6"/>
    </row>
    <row r="49" spans="1:15" ht="15.6" x14ac:dyDescent="0.3">
      <c r="A49" s="307"/>
      <c r="B49" s="258" t="s">
        <v>27</v>
      </c>
      <c r="C49" s="258"/>
      <c r="D49" s="258"/>
      <c r="E49" s="258"/>
      <c r="F49" s="258"/>
      <c r="G49" s="258"/>
      <c r="H49" s="258"/>
      <c r="I49" s="258"/>
      <c r="J49" s="258">
        <f>M49-K49+1</f>
        <v>92</v>
      </c>
      <c r="K49" s="360">
        <v>42689</v>
      </c>
      <c r="L49" s="361"/>
      <c r="M49" s="360">
        <v>42780</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42767</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281</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51709</v>
      </c>
      <c r="F58" s="256"/>
      <c r="G58" s="256">
        <v>2645</v>
      </c>
      <c r="H58" s="256"/>
      <c r="I58" s="256">
        <v>0</v>
      </c>
      <c r="J58" s="256"/>
      <c r="K58" s="256">
        <v>0</v>
      </c>
      <c r="L58" s="256"/>
      <c r="M58" s="260">
        <f>E58-G58+I58-K58</f>
        <v>49064</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51709</v>
      </c>
      <c r="F62" s="256"/>
      <c r="G62" s="256">
        <f>SUM(G58:G61)</f>
        <v>2645</v>
      </c>
      <c r="H62" s="256"/>
      <c r="I62" s="256">
        <f>SUM(I58:I61)</f>
        <v>0</v>
      </c>
      <c r="J62" s="256"/>
      <c r="K62" s="256">
        <f>SUM(K58:K61)</f>
        <v>0</v>
      </c>
      <c r="L62" s="256"/>
      <c r="M62" s="256">
        <f>SUM(M58:M61)</f>
        <v>49064</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51709</v>
      </c>
      <c r="F75" s="256"/>
      <c r="G75" s="256"/>
      <c r="H75" s="256"/>
      <c r="I75" s="256"/>
      <c r="J75" s="256"/>
      <c r="K75" s="256"/>
      <c r="L75" s="256"/>
      <c r="M75" s="256">
        <f>SUM(M62:M74)</f>
        <v>49064</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42766</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2645-40</f>
        <v>2605</v>
      </c>
      <c r="L80" s="258"/>
      <c r="M80" s="260"/>
      <c r="N80" s="264"/>
      <c r="O80" s="6"/>
    </row>
    <row r="81" spans="1:16" ht="15.6" x14ac:dyDescent="0.3">
      <c r="A81" s="307"/>
      <c r="B81" s="258" t="s">
        <v>204</v>
      </c>
      <c r="C81" s="290"/>
      <c r="D81" s="325"/>
      <c r="E81" s="326"/>
      <c r="F81" s="258"/>
      <c r="G81" s="258"/>
      <c r="H81" s="258"/>
      <c r="I81" s="258"/>
      <c r="J81" s="258"/>
      <c r="K81" s="256"/>
      <c r="L81" s="258"/>
      <c r="M81" s="260">
        <f>3033+2-1653</f>
        <v>1382</v>
      </c>
      <c r="N81" s="264"/>
      <c r="O81" s="6"/>
    </row>
    <row r="82" spans="1:16" ht="15.6" x14ac:dyDescent="0.3">
      <c r="A82" s="307"/>
      <c r="B82" s="258" t="s">
        <v>205</v>
      </c>
      <c r="C82" s="290"/>
      <c r="D82" s="325"/>
      <c r="E82" s="326"/>
      <c r="F82" s="258"/>
      <c r="G82" s="258"/>
      <c r="H82" s="258"/>
      <c r="I82" s="258"/>
      <c r="J82" s="258"/>
      <c r="K82" s="256"/>
      <c r="L82" s="258"/>
      <c r="M82" s="260">
        <v>132</v>
      </c>
      <c r="N82" s="264"/>
      <c r="O82" s="6"/>
    </row>
    <row r="83" spans="1:16" ht="15.6" x14ac:dyDescent="0.3">
      <c r="A83" s="307"/>
      <c r="B83" s="258" t="s">
        <v>206</v>
      </c>
      <c r="C83" s="290"/>
      <c r="D83" s="325"/>
      <c r="E83" s="326"/>
      <c r="F83" s="258"/>
      <c r="G83" s="258"/>
      <c r="H83" s="258"/>
      <c r="I83" s="258"/>
      <c r="J83" s="258"/>
      <c r="K83" s="256"/>
      <c r="L83" s="258"/>
      <c r="M83" s="260">
        <v>13</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2605</v>
      </c>
      <c r="L85" s="258"/>
      <c r="M85" s="256">
        <f>SUM(M79:M84)</f>
        <v>1527</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2605</v>
      </c>
      <c r="L87" s="258"/>
      <c r="M87" s="256">
        <f>M85+M86</f>
        <v>1527</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-20-1</f>
        <v>-21</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-56</v>
      </c>
      <c r="N93" s="311"/>
      <c r="O93" s="6"/>
    </row>
    <row r="94" spans="1:16" ht="15.6" x14ac:dyDescent="0.3">
      <c r="A94" s="255">
        <v>5</v>
      </c>
      <c r="B94" s="258" t="s">
        <v>52</v>
      </c>
      <c r="C94" s="258"/>
      <c r="D94" s="258"/>
      <c r="E94" s="258"/>
      <c r="F94" s="258"/>
      <c r="G94" s="258"/>
      <c r="H94" s="258"/>
      <c r="I94" s="258"/>
      <c r="J94" s="258"/>
      <c r="K94" s="258"/>
      <c r="L94" s="258"/>
      <c r="M94" s="260">
        <v>-69</v>
      </c>
      <c r="N94" s="311"/>
      <c r="O94" s="6"/>
    </row>
    <row r="95" spans="1:16" ht="15.6" x14ac:dyDescent="0.3">
      <c r="A95" s="255">
        <v>6</v>
      </c>
      <c r="B95" s="258" t="s">
        <v>172</v>
      </c>
      <c r="C95" s="258"/>
      <c r="D95" s="258"/>
      <c r="E95" s="258"/>
      <c r="F95" s="258"/>
      <c r="G95" s="258"/>
      <c r="H95" s="258"/>
      <c r="I95" s="258"/>
      <c r="J95" s="258"/>
      <c r="K95" s="258"/>
      <c r="L95" s="258"/>
      <c r="M95" s="260">
        <v>-56</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40</v>
      </c>
      <c r="L97" s="258"/>
      <c r="M97" s="260">
        <v>-40</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-19</v>
      </c>
      <c r="N101" s="311"/>
      <c r="O101" s="6"/>
    </row>
    <row r="102" spans="1:16" ht="15.6" x14ac:dyDescent="0.3">
      <c r="A102" s="255">
        <v>13</v>
      </c>
      <c r="B102" s="258" t="s">
        <v>195</v>
      </c>
      <c r="C102" s="258"/>
      <c r="D102" s="258"/>
      <c r="E102" s="258"/>
      <c r="F102" s="258"/>
      <c r="G102" s="258"/>
      <c r="H102" s="258"/>
      <c r="I102" s="258"/>
      <c r="J102" s="258"/>
      <c r="K102" s="258"/>
      <c r="L102" s="258"/>
      <c r="M102" s="260">
        <f>-M87-SUM(M89:M101)</f>
        <v>-1257</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-1426</v>
      </c>
      <c r="L107" s="256"/>
      <c r="M107" s="260"/>
      <c r="N107" s="311"/>
      <c r="O107" s="6"/>
    </row>
    <row r="108" spans="1:16" ht="15.6" x14ac:dyDescent="0.3">
      <c r="A108" s="307"/>
      <c r="B108" s="258" t="s">
        <v>59</v>
      </c>
      <c r="C108" s="258"/>
      <c r="D108" s="258"/>
      <c r="E108" s="258"/>
      <c r="F108" s="258"/>
      <c r="G108" s="258"/>
      <c r="H108" s="258"/>
      <c r="I108" s="258"/>
      <c r="J108" s="258"/>
      <c r="K108" s="256">
        <v>-742</v>
      </c>
      <c r="L108" s="256"/>
      <c r="M108" s="260"/>
      <c r="N108" s="311"/>
      <c r="O108" s="6"/>
    </row>
    <row r="109" spans="1:16" ht="15.6" x14ac:dyDescent="0.3">
      <c r="A109" s="307"/>
      <c r="B109" s="258" t="s">
        <v>186</v>
      </c>
      <c r="C109" s="258"/>
      <c r="D109" s="258"/>
      <c r="E109" s="258"/>
      <c r="F109" s="258"/>
      <c r="G109" s="258"/>
      <c r="H109" s="258"/>
      <c r="I109" s="258"/>
      <c r="J109" s="258"/>
      <c r="K109" s="256">
        <v>-477</v>
      </c>
      <c r="L109" s="256"/>
      <c r="M109" s="260"/>
      <c r="N109" s="311"/>
      <c r="O109" s="6"/>
    </row>
    <row r="110" spans="1:16" ht="15.6" x14ac:dyDescent="0.3">
      <c r="A110" s="307"/>
      <c r="B110" s="258" t="s">
        <v>60</v>
      </c>
      <c r="C110" s="258"/>
      <c r="D110" s="258"/>
      <c r="E110" s="258"/>
      <c r="F110" s="258"/>
      <c r="G110" s="258"/>
      <c r="H110" s="258"/>
      <c r="I110" s="258"/>
      <c r="J110" s="258"/>
      <c r="K110" s="256">
        <f>+K105+K106+K107+K108+K109</f>
        <v>-2645</v>
      </c>
      <c r="L110" s="256"/>
      <c r="M110" s="256">
        <f>SUM(M88:M109)</f>
        <v>-1527</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JANUARY 2017</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-137</v>
      </c>
      <c r="N139" s="264"/>
      <c r="O139" s="6"/>
    </row>
    <row r="140" spans="1:15" ht="15.6" x14ac:dyDescent="0.3">
      <c r="A140" s="307"/>
      <c r="B140" s="258" t="s">
        <v>180</v>
      </c>
      <c r="C140" s="258"/>
      <c r="D140" s="258"/>
      <c r="E140" s="258"/>
      <c r="F140" s="258"/>
      <c r="G140" s="258"/>
      <c r="H140" s="258"/>
      <c r="I140" s="258"/>
      <c r="J140" s="258"/>
      <c r="K140" s="258"/>
      <c r="L140" s="258"/>
      <c r="M140" s="260">
        <f>132+45</f>
        <v>177</v>
      </c>
      <c r="N140" s="264"/>
      <c r="O140" s="6"/>
    </row>
    <row r="141" spans="1:15" ht="15.6" x14ac:dyDescent="0.3">
      <c r="A141" s="307"/>
      <c r="B141" s="258" t="s">
        <v>77</v>
      </c>
      <c r="C141" s="258"/>
      <c r="D141" s="258"/>
      <c r="E141" s="258"/>
      <c r="F141" s="258"/>
      <c r="G141" s="258"/>
      <c r="H141" s="258"/>
      <c r="I141" s="258"/>
      <c r="J141" s="258"/>
      <c r="K141" s="258"/>
      <c r="L141" s="258"/>
      <c r="M141" s="260">
        <f>M139+M138+M140</f>
        <v>40</v>
      </c>
      <c r="N141" s="264"/>
      <c r="O141" s="6"/>
    </row>
    <row r="142" spans="1:15" ht="15.6" x14ac:dyDescent="0.3">
      <c r="A142" s="307"/>
      <c r="B142" s="258" t="s">
        <v>183</v>
      </c>
      <c r="C142" s="258"/>
      <c r="D142" s="258"/>
      <c r="E142" s="258"/>
      <c r="F142" s="258"/>
      <c r="G142" s="258"/>
      <c r="H142" s="258"/>
      <c r="I142" s="303"/>
      <c r="J142" s="258"/>
      <c r="K142" s="258"/>
      <c r="L142" s="258"/>
      <c r="M142" s="260">
        <f>M97</f>
        <v>-40</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49064</v>
      </c>
      <c r="N148" s="318"/>
      <c r="O148" s="6"/>
      <c r="P148" s="117"/>
    </row>
    <row r="149" spans="1:16" ht="15.6" x14ac:dyDescent="0.3">
      <c r="A149" s="307"/>
      <c r="B149" s="258" t="s">
        <v>80</v>
      </c>
      <c r="C149" s="319"/>
      <c r="D149" s="319"/>
      <c r="E149" s="258"/>
      <c r="F149" s="258"/>
      <c r="G149" s="258"/>
      <c r="H149" s="258"/>
      <c r="I149" s="258"/>
      <c r="J149" s="258"/>
      <c r="K149" s="258"/>
      <c r="L149" s="258"/>
      <c r="M149" s="260">
        <f>M75</f>
        <v>49064</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+'Oct 16'!I156</f>
        <v>7636</v>
      </c>
      <c r="J154" s="258"/>
      <c r="K154" s="260">
        <f>+'Oct 16'!K156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26.857142857142858</v>
      </c>
      <c r="N161" s="264" t="s">
        <v>145</v>
      </c>
      <c r="O161" s="6"/>
    </row>
    <row r="162" spans="1:15" ht="15.6" x14ac:dyDescent="0.3">
      <c r="A162" s="307"/>
      <c r="B162" s="258" t="s">
        <v>89</v>
      </c>
      <c r="C162" s="258"/>
      <c r="D162" s="258"/>
      <c r="E162" s="258"/>
      <c r="F162" s="258"/>
      <c r="G162" s="258"/>
      <c r="H162" s="258"/>
      <c r="I162" s="258"/>
      <c r="J162" s="258"/>
      <c r="K162" s="258"/>
      <c r="L162" s="258"/>
      <c r="M162" s="309">
        <v>3.81</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20.985507246376812</v>
      </c>
      <c r="N163" s="264" t="s">
        <v>145</v>
      </c>
      <c r="O163" s="6"/>
    </row>
    <row r="164" spans="1:15" ht="15.6" x14ac:dyDescent="0.3">
      <c r="A164" s="307"/>
      <c r="B164" s="258" t="s">
        <v>91</v>
      </c>
      <c r="C164" s="258"/>
      <c r="D164" s="258"/>
      <c r="E164" s="258"/>
      <c r="F164" s="258"/>
      <c r="G164" s="258"/>
      <c r="H164" s="258"/>
      <c r="I164" s="258"/>
      <c r="J164" s="258"/>
      <c r="K164" s="258"/>
      <c r="L164" s="258"/>
      <c r="M164" s="310">
        <v>10.1</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24.625</v>
      </c>
      <c r="N165" s="264" t="s">
        <v>145</v>
      </c>
      <c r="O165" s="6"/>
    </row>
    <row r="166" spans="1:15" ht="15.6" x14ac:dyDescent="0.3">
      <c r="A166" s="307"/>
      <c r="B166" s="258" t="s">
        <v>182</v>
      </c>
      <c r="C166" s="258"/>
      <c r="D166" s="258"/>
      <c r="E166" s="258"/>
      <c r="F166" s="258"/>
      <c r="G166" s="258"/>
      <c r="H166" s="258"/>
      <c r="I166" s="258"/>
      <c r="J166" s="258"/>
      <c r="K166" s="258"/>
      <c r="L166" s="258"/>
      <c r="M166" s="310">
        <v>12.85</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JANUARY 2017</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42766</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9.5000000000000001E-2</v>
      </c>
      <c r="L176" s="258"/>
      <c r="M176" s="258"/>
      <c r="N176" s="264"/>
      <c r="O176" s="6"/>
    </row>
    <row r="177" spans="1:15" ht="15.6" x14ac:dyDescent="0.3">
      <c r="A177" s="301"/>
      <c r="B177" s="258" t="s">
        <v>97</v>
      </c>
      <c r="C177" s="302"/>
      <c r="D177" s="302"/>
      <c r="E177" s="302"/>
      <c r="F177" s="302"/>
      <c r="G177" s="302"/>
      <c r="H177" s="303"/>
      <c r="I177" s="303"/>
      <c r="J177" s="303"/>
      <c r="K177" s="304">
        <f>M36</f>
        <v>1.3950409874675291E-2</v>
      </c>
      <c r="L177" s="258"/>
      <c r="M177" s="258"/>
      <c r="N177" s="264"/>
      <c r="O177" s="6"/>
    </row>
    <row r="178" spans="1:15" ht="15.6" x14ac:dyDescent="0.3">
      <c r="A178" s="301"/>
      <c r="B178" s="258" t="s">
        <v>98</v>
      </c>
      <c r="C178" s="302"/>
      <c r="D178" s="302"/>
      <c r="E178" s="302"/>
      <c r="F178" s="302"/>
      <c r="G178" s="302"/>
      <c r="H178" s="303"/>
      <c r="I178" s="303"/>
      <c r="J178" s="303"/>
      <c r="K178" s="304">
        <f>K176-K177</f>
        <v>8.1049590125324714E-2</v>
      </c>
      <c r="L178" s="258"/>
      <c r="M178" s="258"/>
      <c r="N178" s="264"/>
      <c r="O178" s="6"/>
    </row>
    <row r="179" spans="1:15" ht="15.6" x14ac:dyDescent="0.3">
      <c r="A179" s="301"/>
      <c r="B179" s="258" t="s">
        <v>211</v>
      </c>
      <c r="C179" s="302"/>
      <c r="D179" s="302"/>
      <c r="E179" s="302"/>
      <c r="F179" s="302"/>
      <c r="G179" s="302"/>
      <c r="H179" s="303"/>
      <c r="I179" s="303"/>
      <c r="J179" s="303"/>
      <c r="K179" s="304">
        <f>(+M87+M89)/E58</f>
        <v>2.9530642634744437E-2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10.52</v>
      </c>
      <c r="L184" s="258" t="s">
        <v>139</v>
      </c>
      <c r="M184" s="258"/>
      <c r="N184" s="264"/>
      <c r="O184" s="6"/>
    </row>
    <row r="185" spans="1:15" ht="15.6" x14ac:dyDescent="0.3">
      <c r="A185" s="301"/>
      <c r="B185" s="258" t="s">
        <v>103</v>
      </c>
      <c r="C185" s="302"/>
      <c r="D185" s="302"/>
      <c r="E185" s="302"/>
      <c r="F185" s="302"/>
      <c r="G185" s="302"/>
      <c r="H185" s="303"/>
      <c r="I185" s="303"/>
      <c r="J185" s="303"/>
      <c r="K185" s="304">
        <f>K80/E58</f>
        <v>5.0378077317294864E-2</v>
      </c>
      <c r="L185" s="258"/>
      <c r="M185" s="258"/>
      <c r="N185" s="264"/>
      <c r="O185" s="6"/>
    </row>
    <row r="186" spans="1:15" ht="15.6" x14ac:dyDescent="0.3">
      <c r="A186" s="301"/>
      <c r="B186" s="258" t="s">
        <v>104</v>
      </c>
      <c r="C186" s="302"/>
      <c r="D186" s="302"/>
      <c r="E186" s="302"/>
      <c r="F186" s="302"/>
      <c r="G186" s="302"/>
      <c r="H186" s="303"/>
      <c r="I186" s="303"/>
      <c r="J186" s="303"/>
      <c r="K186" s="304">
        <v>0.2233</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78">
        <v>330</v>
      </c>
      <c r="K189" s="379">
        <v>6594</v>
      </c>
      <c r="L189" s="217"/>
      <c r="M189" s="229"/>
      <c r="N189" s="230"/>
      <c r="O189" s="6"/>
    </row>
    <row r="190" spans="1:15" ht="15.6" x14ac:dyDescent="0.3">
      <c r="A190" s="275"/>
      <c r="B190" s="258" t="s">
        <v>196</v>
      </c>
      <c r="C190" s="256"/>
      <c r="D190" s="256"/>
      <c r="E190" s="256"/>
      <c r="F190" s="256"/>
      <c r="G190" s="258"/>
      <c r="H190" s="258"/>
      <c r="I190" s="258"/>
      <c r="J190" s="380">
        <v>0</v>
      </c>
      <c r="K190" s="381">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40</v>
      </c>
      <c r="L194" s="258"/>
      <c r="M194" s="281"/>
      <c r="N194" s="286"/>
      <c r="O194" s="6"/>
    </row>
    <row r="195" spans="1:15" ht="15.6" x14ac:dyDescent="0.3">
      <c r="A195" s="275"/>
      <c r="B195" s="258" t="s">
        <v>111</v>
      </c>
      <c r="C195" s="256"/>
      <c r="D195" s="256"/>
      <c r="E195" s="256"/>
      <c r="F195" s="256"/>
      <c r="G195" s="256"/>
      <c r="H195" s="258"/>
      <c r="I195" s="258"/>
      <c r="J195" s="258"/>
      <c r="K195" s="375">
        <f>'Oct 16'!K195+'Jan 17'!K194</f>
        <v>37320</v>
      </c>
      <c r="L195" s="258"/>
      <c r="M195" s="281"/>
      <c r="N195" s="286"/>
      <c r="O195" s="6"/>
    </row>
    <row r="196" spans="1:15" ht="15.6" x14ac:dyDescent="0.3">
      <c r="A196" s="275"/>
      <c r="B196" s="258" t="s">
        <v>112</v>
      </c>
      <c r="C196" s="256"/>
      <c r="D196" s="256"/>
      <c r="E196" s="256"/>
      <c r="F196" s="256"/>
      <c r="G196" s="256"/>
      <c r="H196" s="258"/>
      <c r="I196" s="258"/>
      <c r="J196" s="258"/>
      <c r="K196" s="375">
        <f>'Oct 16'!K196+493</f>
        <v>16651</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3</v>
      </c>
      <c r="L198" s="258"/>
      <c r="M198" s="261"/>
      <c r="N198" s="286"/>
      <c r="O198" s="6"/>
    </row>
    <row r="199" spans="1:15" ht="15.6" x14ac:dyDescent="0.3">
      <c r="A199" s="275"/>
      <c r="B199" s="258" t="s">
        <v>113</v>
      </c>
      <c r="C199" s="256"/>
      <c r="D199" s="256"/>
      <c r="E199" s="290"/>
      <c r="F199" s="290"/>
      <c r="G199" s="291"/>
      <c r="H199" s="258"/>
      <c r="I199" s="258"/>
      <c r="J199" s="258"/>
      <c r="K199" s="376">
        <v>53.86</v>
      </c>
      <c r="L199" s="258"/>
      <c r="M199" s="261"/>
      <c r="N199" s="286"/>
      <c r="O199" s="6"/>
    </row>
    <row r="200" spans="1:15" ht="15.6" x14ac:dyDescent="0.3">
      <c r="A200" s="275"/>
      <c r="B200" s="258" t="s">
        <v>114</v>
      </c>
      <c r="C200" s="256"/>
      <c r="D200" s="256"/>
      <c r="E200" s="290"/>
      <c r="F200" s="290"/>
      <c r="G200" s="291"/>
      <c r="H200" s="258"/>
      <c r="I200" s="258"/>
      <c r="J200" s="258"/>
      <c r="K200" s="376">
        <v>9.93</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2269</v>
      </c>
      <c r="J205" s="232">
        <f>I205/I213</f>
        <v>0.87302808772604845</v>
      </c>
      <c r="K205" s="221">
        <v>42470</v>
      </c>
      <c r="L205" s="232">
        <f>K205/K213</f>
        <v>0.865604108918963</v>
      </c>
      <c r="M205" s="228"/>
      <c r="N205" s="218"/>
      <c r="O205" s="6"/>
    </row>
    <row r="206" spans="1:15" ht="15.6" x14ac:dyDescent="0.3">
      <c r="A206" s="255"/>
      <c r="B206" s="256" t="s">
        <v>117</v>
      </c>
      <c r="C206" s="257"/>
      <c r="D206" s="257"/>
      <c r="E206" s="256"/>
      <c r="F206" s="257"/>
      <c r="G206" s="258"/>
      <c r="H206" s="259"/>
      <c r="I206" s="256">
        <v>69</v>
      </c>
      <c r="J206" s="259">
        <f>I206/I213</f>
        <v>2.6548672566371681E-2</v>
      </c>
      <c r="K206" s="260">
        <v>1272</v>
      </c>
      <c r="L206" s="259">
        <f>K206/K213</f>
        <v>2.5925322028371108E-2</v>
      </c>
      <c r="M206" s="261"/>
      <c r="N206" s="263"/>
      <c r="O206" s="6"/>
    </row>
    <row r="207" spans="1:15" ht="15.6" x14ac:dyDescent="0.3">
      <c r="A207" s="255"/>
      <c r="B207" s="256" t="s">
        <v>118</v>
      </c>
      <c r="C207" s="257"/>
      <c r="D207" s="257"/>
      <c r="E207" s="256"/>
      <c r="F207" s="257"/>
      <c r="G207" s="256"/>
      <c r="H207" s="259"/>
      <c r="I207" s="256">
        <v>48</v>
      </c>
      <c r="J207" s="259">
        <f>I207/I213</f>
        <v>1.846864178530204E-2</v>
      </c>
      <c r="K207" s="260">
        <v>779</v>
      </c>
      <c r="L207" s="259">
        <f>K207/K213</f>
        <v>1.5877221588129788E-2</v>
      </c>
      <c r="M207" s="374"/>
      <c r="N207" s="263"/>
      <c r="O207" s="6"/>
    </row>
    <row r="208" spans="1:15" ht="15.6" x14ac:dyDescent="0.3">
      <c r="A208" s="255"/>
      <c r="B208" s="256" t="s">
        <v>167</v>
      </c>
      <c r="C208" s="257"/>
      <c r="D208" s="257"/>
      <c r="E208" s="256"/>
      <c r="F208" s="257"/>
      <c r="G208" s="256"/>
      <c r="H208" s="259"/>
      <c r="I208" s="256">
        <v>35</v>
      </c>
      <c r="J208" s="259">
        <f>I208/I213</f>
        <v>1.3466717968449404E-2</v>
      </c>
      <c r="K208" s="260">
        <v>796</v>
      </c>
      <c r="L208" s="259">
        <f>K208/K213</f>
        <v>1.6223707810207075E-2</v>
      </c>
      <c r="M208" s="374"/>
      <c r="N208" s="263"/>
      <c r="O208" s="6"/>
    </row>
    <row r="209" spans="1:15" ht="15.6" x14ac:dyDescent="0.3">
      <c r="A209" s="255"/>
      <c r="B209" s="256" t="s">
        <v>168</v>
      </c>
      <c r="C209" s="257"/>
      <c r="D209" s="257"/>
      <c r="E209" s="256"/>
      <c r="F209" s="257"/>
      <c r="G209" s="258"/>
      <c r="H209" s="259"/>
      <c r="I209" s="256">
        <v>30</v>
      </c>
      <c r="J209" s="259">
        <f>I209/I213</f>
        <v>1.1542901115813775E-2</v>
      </c>
      <c r="K209" s="260">
        <v>640</v>
      </c>
      <c r="L209" s="259">
        <f>K209/K213</f>
        <v>1.3044187184086092E-2</v>
      </c>
      <c r="M209" s="374"/>
      <c r="N209" s="263"/>
      <c r="O209" s="6"/>
    </row>
    <row r="210" spans="1:15" ht="15.6" x14ac:dyDescent="0.3">
      <c r="A210" s="255"/>
      <c r="B210" s="256" t="s">
        <v>169</v>
      </c>
      <c r="C210" s="257"/>
      <c r="D210" s="257"/>
      <c r="E210" s="256"/>
      <c r="F210" s="257"/>
      <c r="G210" s="258"/>
      <c r="H210" s="259"/>
      <c r="I210" s="256">
        <v>31</v>
      </c>
      <c r="J210" s="259">
        <f>I210/I213</f>
        <v>1.1927664486340901E-2</v>
      </c>
      <c r="K210" s="260">
        <v>707</v>
      </c>
      <c r="L210" s="259">
        <f>K210/K213</f>
        <v>1.4409750529920105E-2</v>
      </c>
      <c r="M210" s="374"/>
      <c r="N210" s="262"/>
      <c r="O210" s="6"/>
    </row>
    <row r="211" spans="1:15" ht="15.6" x14ac:dyDescent="0.3">
      <c r="A211" s="255"/>
      <c r="B211" s="256" t="s">
        <v>176</v>
      </c>
      <c r="C211" s="257"/>
      <c r="D211" s="257"/>
      <c r="E211" s="256"/>
      <c r="F211" s="257"/>
      <c r="G211" s="258"/>
      <c r="H211" s="259"/>
      <c r="I211" s="256">
        <v>67</v>
      </c>
      <c r="J211" s="259">
        <f>I211/I213</f>
        <v>2.5779145825317429E-2</v>
      </c>
      <c r="K211" s="260">
        <v>1531</v>
      </c>
      <c r="L211" s="259">
        <f>K211/K213</f>
        <v>3.1204141529430948E-2</v>
      </c>
      <c r="M211" s="261"/>
      <c r="N211" s="263"/>
      <c r="O211" s="6"/>
    </row>
    <row r="212" spans="1:15" ht="15.6" x14ac:dyDescent="0.3">
      <c r="A212" s="255"/>
      <c r="B212" s="256" t="s">
        <v>202</v>
      </c>
      <c r="C212" s="257"/>
      <c r="D212" s="257"/>
      <c r="E212" s="256"/>
      <c r="F212" s="257"/>
      <c r="G212" s="258"/>
      <c r="H212" s="259"/>
      <c r="I212" s="256">
        <v>50</v>
      </c>
      <c r="J212" s="259">
        <f>+I212/I213</f>
        <v>1.9238168526356292E-2</v>
      </c>
      <c r="K212" s="260">
        <v>869</v>
      </c>
      <c r="L212" s="259">
        <f>+K212/K213</f>
        <v>1.7711560410891895E-2</v>
      </c>
      <c r="M212" s="261"/>
      <c r="N212" s="263"/>
      <c r="O212" s="6"/>
    </row>
    <row r="213" spans="1:15" ht="15.6" x14ac:dyDescent="0.3">
      <c r="A213" s="255"/>
      <c r="B213" s="258" t="s">
        <v>189</v>
      </c>
      <c r="C213" s="258"/>
      <c r="D213" s="258"/>
      <c r="E213" s="258"/>
      <c r="F213" s="258"/>
      <c r="G213" s="256"/>
      <c r="H213" s="258"/>
      <c r="I213" s="256">
        <f>SUM(I205:I212)</f>
        <v>2599</v>
      </c>
      <c r="J213" s="259">
        <f>SUM(J205:J212)</f>
        <v>1</v>
      </c>
      <c r="K213" s="260">
        <f>SUM(K205:K212)</f>
        <v>49064</v>
      </c>
      <c r="L213" s="259">
        <f>SUM(L205:L212)</f>
        <v>1</v>
      </c>
      <c r="M213" s="258"/>
      <c r="N213" s="264"/>
      <c r="O213" s="6"/>
    </row>
    <row r="214" spans="1:15" ht="15.6" x14ac:dyDescent="0.3">
      <c r="A214" s="255"/>
      <c r="B214" s="256" t="s">
        <v>170</v>
      </c>
      <c r="C214" s="257"/>
      <c r="D214" s="257"/>
      <c r="E214" s="256"/>
      <c r="F214" s="257"/>
      <c r="G214" s="256"/>
      <c r="H214" s="259"/>
      <c r="I214" s="256">
        <v>281</v>
      </c>
      <c r="J214" s="259"/>
      <c r="K214" s="260">
        <v>7784</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1.2485999999999999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262</v>
      </c>
      <c r="C220" s="208"/>
      <c r="D220" s="208"/>
      <c r="E220" s="208"/>
      <c r="F220" s="235" t="s">
        <v>222</v>
      </c>
      <c r="G220" s="208"/>
      <c r="H220" s="208" t="s">
        <v>223</v>
      </c>
      <c r="I220" s="216"/>
      <c r="J220" s="216"/>
      <c r="K220" s="216"/>
      <c r="L220" s="216"/>
      <c r="M220" s="216"/>
      <c r="N220" s="216"/>
      <c r="O220" s="6"/>
    </row>
    <row r="221" spans="1:15" ht="15.6" x14ac:dyDescent="0.3">
      <c r="A221" s="233"/>
      <c r="B221" s="208" t="s">
        <v>263</v>
      </c>
      <c r="C221" s="208"/>
      <c r="D221" s="208"/>
      <c r="E221" s="208"/>
      <c r="F221" s="235" t="s">
        <v>225</v>
      </c>
      <c r="G221" s="208"/>
      <c r="H221" s="208" t="s">
        <v>226</v>
      </c>
      <c r="I221" s="216"/>
      <c r="J221" s="216"/>
      <c r="K221" s="216"/>
      <c r="L221" s="216"/>
      <c r="M221" s="216"/>
      <c r="N221" s="216"/>
      <c r="O221" s="6"/>
    </row>
    <row r="222" spans="1:15" ht="15.6" x14ac:dyDescent="0.3">
      <c r="A222" s="233"/>
      <c r="B222" s="208"/>
      <c r="C222" s="236"/>
      <c r="D222" s="236"/>
      <c r="E222" s="211"/>
      <c r="F222" s="208"/>
      <c r="G222" s="208"/>
      <c r="H222" s="236"/>
      <c r="I222" s="236"/>
      <c r="J222" s="216"/>
      <c r="K222" s="216"/>
      <c r="L222" s="216"/>
      <c r="M222" s="216"/>
      <c r="N222" s="216"/>
      <c r="O222" s="6"/>
    </row>
    <row r="223" spans="1:15" ht="18" thickBot="1" x14ac:dyDescent="0.35">
      <c r="A223" s="233"/>
      <c r="B223" s="237" t="str">
        <f>B170</f>
        <v>PSF1 INVESTOR REPORT QUARTER ENDING JANUARY 2017</v>
      </c>
      <c r="C223" s="236"/>
      <c r="D223" s="236"/>
      <c r="E223" s="211"/>
      <c r="F223" s="208"/>
      <c r="G223" s="208"/>
      <c r="H223" s="236"/>
      <c r="I223" s="236"/>
      <c r="J223" s="216"/>
      <c r="K223" s="216"/>
      <c r="L223" s="216"/>
      <c r="M223" s="216"/>
      <c r="N223" s="216"/>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hyperlinks>
    <hyperlink ref="I10" r:id="rId1" xr:uid="{00000000-0004-0000-2F00-000000000000}"/>
    <hyperlink ref="K202" r:id="rId2" xr:uid="{00000000-0004-0000-2F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4" max="14" man="1"/>
    <brk id="170" max="14" man="1"/>
  </rowBreaks>
  <colBreaks count="1" manualBreakCount="1">
    <brk id="14" max="224" man="1"/>
  </colBreaks>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179687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42873</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277</v>
      </c>
      <c r="F26" s="341"/>
      <c r="G26" s="341" t="s">
        <v>278</v>
      </c>
      <c r="H26" s="342"/>
      <c r="I26" s="342"/>
      <c r="J26" s="338"/>
      <c r="K26" s="338"/>
      <c r="L26" s="339"/>
      <c r="M26" s="339"/>
      <c r="N26" s="311"/>
      <c r="O26" s="6"/>
    </row>
    <row r="27" spans="1:15" ht="15.6" x14ac:dyDescent="0.3">
      <c r="A27" s="340"/>
      <c r="B27" s="319" t="s">
        <v>12</v>
      </c>
      <c r="C27" s="341" t="s">
        <v>121</v>
      </c>
      <c r="D27" s="341"/>
      <c r="E27" s="341" t="s">
        <v>283</v>
      </c>
      <c r="F27" s="341"/>
      <c r="G27" s="341" t="s">
        <v>284</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26445.480600000003</v>
      </c>
      <c r="D31" s="345"/>
      <c r="E31" s="344">
        <f>E30*E34</f>
        <v>13767.558000000001</v>
      </c>
      <c r="F31" s="344"/>
      <c r="G31" s="344">
        <f>G30*G34</f>
        <v>8850.5784000000003</v>
      </c>
      <c r="H31" s="346"/>
      <c r="I31" s="346"/>
      <c r="J31" s="346"/>
      <c r="K31" s="346"/>
      <c r="L31" s="347"/>
      <c r="M31" s="344">
        <f>C31+E31+G31</f>
        <v>49063.616999999998</v>
      </c>
      <c r="N31" s="348"/>
      <c r="O31" s="6"/>
    </row>
    <row r="32" spans="1:15" ht="15.6" x14ac:dyDescent="0.3">
      <c r="A32" s="340"/>
      <c r="B32" s="319" t="s">
        <v>16</v>
      </c>
      <c r="C32" s="349">
        <f>C30*C33</f>
        <v>24974.6574</v>
      </c>
      <c r="D32" s="350"/>
      <c r="E32" s="349">
        <f>E30*E33</f>
        <v>13001.8392</v>
      </c>
      <c r="F32" s="349"/>
      <c r="G32" s="349">
        <f>G30*G33</f>
        <v>8358.3305999999993</v>
      </c>
      <c r="H32" s="351"/>
      <c r="I32" s="351"/>
      <c r="J32" s="351"/>
      <c r="K32" s="351"/>
      <c r="L32" s="352"/>
      <c r="M32" s="344">
        <f>C32+E32+G32</f>
        <v>46334.8272</v>
      </c>
      <c r="N32" s="348"/>
      <c r="O32" s="6"/>
    </row>
    <row r="33" spans="1:15" ht="15.6" x14ac:dyDescent="0.3">
      <c r="A33" s="340"/>
      <c r="B33" s="278" t="s">
        <v>174</v>
      </c>
      <c r="C33" s="371">
        <v>0.1081154</v>
      </c>
      <c r="D33" s="372"/>
      <c r="E33" s="371">
        <v>0.3095676</v>
      </c>
      <c r="F33" s="371"/>
      <c r="G33" s="371">
        <v>0.3095678</v>
      </c>
      <c r="H33" s="373"/>
      <c r="I33" s="373"/>
      <c r="J33" s="351"/>
      <c r="K33" s="351"/>
      <c r="L33" s="352"/>
      <c r="M33" s="351"/>
      <c r="N33" s="348"/>
      <c r="O33" s="6"/>
    </row>
    <row r="34" spans="1:15" ht="15.6" x14ac:dyDescent="0.3">
      <c r="A34" s="340"/>
      <c r="B34" s="278" t="s">
        <v>175</v>
      </c>
      <c r="C34" s="371">
        <v>0.1144826</v>
      </c>
      <c r="D34" s="372"/>
      <c r="E34" s="371">
        <v>0.32779900000000001</v>
      </c>
      <c r="F34" s="371"/>
      <c r="G34" s="371">
        <v>0.32779920000000001</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7.5805999999999998E-3</v>
      </c>
      <c r="D36" s="258"/>
      <c r="E36" s="356">
        <v>1.8580599999999999E-2</v>
      </c>
      <c r="F36" s="304"/>
      <c r="G36" s="356">
        <v>2.35806E-2</v>
      </c>
      <c r="H36" s="304"/>
      <c r="I36" s="356"/>
      <c r="J36" s="304"/>
      <c r="K36" s="356"/>
      <c r="L36" s="321"/>
      <c r="M36" s="304">
        <f>SUMPRODUCT(C36:G36,C31:G31)/M31</f>
        <v>1.3553506408428877E-2</v>
      </c>
      <c r="N36" s="264"/>
      <c r="O36" s="6"/>
    </row>
    <row r="37" spans="1:15" ht="15.6" x14ac:dyDescent="0.3">
      <c r="A37" s="307"/>
      <c r="B37" s="258" t="s">
        <v>19</v>
      </c>
      <c r="C37" s="356">
        <v>7.9775000000000002E-3</v>
      </c>
      <c r="D37" s="258"/>
      <c r="E37" s="356">
        <v>1.8977500000000001E-2</v>
      </c>
      <c r="F37" s="304"/>
      <c r="G37" s="356">
        <v>2.3977499999999999E-2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0.855273786458428</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42870</v>
      </c>
      <c r="N47" s="264"/>
      <c r="O47" s="6"/>
    </row>
    <row r="48" spans="1:15" ht="15.6" x14ac:dyDescent="0.3">
      <c r="A48" s="307"/>
      <c r="B48" s="258" t="s">
        <v>26</v>
      </c>
      <c r="C48" s="258"/>
      <c r="D48" s="258"/>
      <c r="E48" s="258"/>
      <c r="F48" s="258"/>
      <c r="G48" s="258"/>
      <c r="H48" s="258"/>
      <c r="I48" s="258"/>
      <c r="J48" s="258">
        <f>M48-K48+1</f>
        <v>92</v>
      </c>
      <c r="K48" s="360">
        <v>42689</v>
      </c>
      <c r="L48" s="361"/>
      <c r="M48" s="360">
        <v>42780</v>
      </c>
      <c r="N48" s="264"/>
      <c r="O48" s="6"/>
    </row>
    <row r="49" spans="1:15" ht="15.6" x14ac:dyDescent="0.3">
      <c r="A49" s="307"/>
      <c r="B49" s="258" t="s">
        <v>27</v>
      </c>
      <c r="C49" s="258"/>
      <c r="D49" s="258"/>
      <c r="E49" s="258"/>
      <c r="F49" s="258"/>
      <c r="G49" s="258"/>
      <c r="H49" s="258"/>
      <c r="I49" s="258"/>
      <c r="J49" s="258">
        <f>M49-K49+1</f>
        <v>89</v>
      </c>
      <c r="K49" s="360">
        <v>42781</v>
      </c>
      <c r="L49" s="361"/>
      <c r="M49" s="360">
        <v>42869</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42857</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282</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49064</v>
      </c>
      <c r="F58" s="256"/>
      <c r="G58" s="256">
        <v>2729</v>
      </c>
      <c r="H58" s="256"/>
      <c r="I58" s="256">
        <v>0</v>
      </c>
      <c r="J58" s="256"/>
      <c r="K58" s="256">
        <v>0</v>
      </c>
      <c r="L58" s="256"/>
      <c r="M58" s="260">
        <f>E58-G58+I58-K58</f>
        <v>46335</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49064</v>
      </c>
      <c r="F62" s="256"/>
      <c r="G62" s="256">
        <f>SUM(G58:G61)</f>
        <v>2729</v>
      </c>
      <c r="H62" s="256"/>
      <c r="I62" s="256">
        <f>SUM(I58:I61)</f>
        <v>0</v>
      </c>
      <c r="J62" s="256"/>
      <c r="K62" s="256">
        <f>SUM(K58:K61)</f>
        <v>0</v>
      </c>
      <c r="L62" s="256"/>
      <c r="M62" s="256">
        <f>SUM(M58:M61)</f>
        <v>46335</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49064</v>
      </c>
      <c r="F75" s="256"/>
      <c r="G75" s="256"/>
      <c r="H75" s="256"/>
      <c r="I75" s="256"/>
      <c r="J75" s="256"/>
      <c r="K75" s="256"/>
      <c r="L75" s="256"/>
      <c r="M75" s="256">
        <f>SUM(M62:M74)</f>
        <v>46335</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42853</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2729+159</f>
        <v>2888</v>
      </c>
      <c r="L80" s="258"/>
      <c r="M80" s="260"/>
      <c r="N80" s="264"/>
      <c r="O80" s="6"/>
    </row>
    <row r="81" spans="1:16" ht="15.6" x14ac:dyDescent="0.3">
      <c r="A81" s="307"/>
      <c r="B81" s="258" t="s">
        <v>204</v>
      </c>
      <c r="C81" s="290"/>
      <c r="D81" s="325"/>
      <c r="E81" s="326"/>
      <c r="F81" s="258"/>
      <c r="G81" s="258"/>
      <c r="H81" s="258"/>
      <c r="I81" s="258"/>
      <c r="J81" s="258"/>
      <c r="K81" s="256"/>
      <c r="L81" s="258"/>
      <c r="M81" s="260">
        <f>2600+4-1645</f>
        <v>959</v>
      </c>
      <c r="N81" s="264"/>
      <c r="O81" s="6"/>
    </row>
    <row r="82" spans="1:16" ht="15.6" x14ac:dyDescent="0.3">
      <c r="A82" s="307"/>
      <c r="B82" s="258" t="s">
        <v>205</v>
      </c>
      <c r="C82" s="290"/>
      <c r="D82" s="325"/>
      <c r="E82" s="326"/>
      <c r="F82" s="258"/>
      <c r="G82" s="258"/>
      <c r="H82" s="258"/>
      <c r="I82" s="258"/>
      <c r="J82" s="258"/>
      <c r="K82" s="256"/>
      <c r="L82" s="258"/>
      <c r="M82" s="260">
        <v>122</v>
      </c>
      <c r="N82" s="264"/>
      <c r="O82" s="6"/>
    </row>
    <row r="83" spans="1:16" ht="15.6" x14ac:dyDescent="0.3">
      <c r="A83" s="307"/>
      <c r="B83" s="258" t="s">
        <v>206</v>
      </c>
      <c r="C83" s="290"/>
      <c r="D83" s="325"/>
      <c r="E83" s="326"/>
      <c r="F83" s="258"/>
      <c r="G83" s="258"/>
      <c r="H83" s="258"/>
      <c r="I83" s="258"/>
      <c r="J83" s="258"/>
      <c r="K83" s="256"/>
      <c r="L83" s="258"/>
      <c r="M83" s="260">
        <v>14</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2888</v>
      </c>
      <c r="L85" s="258"/>
      <c r="M85" s="256">
        <f>SUM(M79:M84)</f>
        <v>1095</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2888</v>
      </c>
      <c r="L87" s="258"/>
      <c r="M87" s="256">
        <f>M85+M86</f>
        <v>1095</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-18-1-1</f>
        <v>-20</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-49</v>
      </c>
      <c r="N93" s="311"/>
      <c r="O93" s="6"/>
    </row>
    <row r="94" spans="1:16" ht="15.6" x14ac:dyDescent="0.3">
      <c r="A94" s="255">
        <v>5</v>
      </c>
      <c r="B94" s="258" t="s">
        <v>52</v>
      </c>
      <c r="C94" s="258"/>
      <c r="D94" s="258"/>
      <c r="E94" s="258"/>
      <c r="F94" s="258"/>
      <c r="G94" s="258"/>
      <c r="H94" s="258"/>
      <c r="I94" s="258"/>
      <c r="J94" s="258"/>
      <c r="K94" s="258"/>
      <c r="L94" s="258"/>
      <c r="M94" s="260">
        <v>-62</v>
      </c>
      <c r="N94" s="311"/>
      <c r="O94" s="6"/>
    </row>
    <row r="95" spans="1:16" ht="15.6" x14ac:dyDescent="0.3">
      <c r="A95" s="255">
        <v>6</v>
      </c>
      <c r="B95" s="258" t="s">
        <v>172</v>
      </c>
      <c r="C95" s="258"/>
      <c r="D95" s="258"/>
      <c r="E95" s="258"/>
      <c r="F95" s="258"/>
      <c r="G95" s="258"/>
      <c r="H95" s="258"/>
      <c r="I95" s="258"/>
      <c r="J95" s="258"/>
      <c r="K95" s="258"/>
      <c r="L95" s="258"/>
      <c r="M95" s="260">
        <v>-51</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-159</v>
      </c>
      <c r="L97" s="258"/>
      <c r="M97" s="260">
        <v>159</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-18</v>
      </c>
      <c r="N101" s="311"/>
      <c r="O101" s="6"/>
    </row>
    <row r="102" spans="1:16" ht="15.6" x14ac:dyDescent="0.3">
      <c r="A102" s="255">
        <v>13</v>
      </c>
      <c r="B102" s="258" t="s">
        <v>195</v>
      </c>
      <c r="C102" s="258"/>
      <c r="D102" s="258"/>
      <c r="E102" s="258"/>
      <c r="F102" s="258"/>
      <c r="G102" s="258"/>
      <c r="H102" s="258"/>
      <c r="I102" s="258"/>
      <c r="J102" s="258"/>
      <c r="K102" s="258"/>
      <c r="L102" s="258"/>
      <c r="M102" s="260">
        <f>-M87-SUM(M89:M101)</f>
        <v>-1045</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-1471</v>
      </c>
      <c r="L107" s="256"/>
      <c r="M107" s="260"/>
      <c r="N107" s="311"/>
      <c r="O107" s="6"/>
    </row>
    <row r="108" spans="1:16" ht="15.6" x14ac:dyDescent="0.3">
      <c r="A108" s="307"/>
      <c r="B108" s="258" t="s">
        <v>59</v>
      </c>
      <c r="C108" s="258"/>
      <c r="D108" s="258"/>
      <c r="E108" s="258"/>
      <c r="F108" s="258"/>
      <c r="G108" s="258"/>
      <c r="H108" s="258"/>
      <c r="I108" s="258"/>
      <c r="J108" s="258"/>
      <c r="K108" s="256">
        <v>-766</v>
      </c>
      <c r="L108" s="256"/>
      <c r="M108" s="260"/>
      <c r="N108" s="311"/>
      <c r="O108" s="6"/>
    </row>
    <row r="109" spans="1:16" ht="15.6" x14ac:dyDescent="0.3">
      <c r="A109" s="307"/>
      <c r="B109" s="258" t="s">
        <v>186</v>
      </c>
      <c r="C109" s="258"/>
      <c r="D109" s="258"/>
      <c r="E109" s="258"/>
      <c r="F109" s="258"/>
      <c r="G109" s="258"/>
      <c r="H109" s="258"/>
      <c r="I109" s="258"/>
      <c r="J109" s="258"/>
      <c r="K109" s="256">
        <v>-492</v>
      </c>
      <c r="L109" s="256"/>
      <c r="M109" s="260"/>
      <c r="N109" s="311"/>
      <c r="O109" s="6"/>
    </row>
    <row r="110" spans="1:16" ht="15.6" x14ac:dyDescent="0.3">
      <c r="A110" s="307"/>
      <c r="B110" s="258" t="s">
        <v>60</v>
      </c>
      <c r="C110" s="258"/>
      <c r="D110" s="258"/>
      <c r="E110" s="258"/>
      <c r="F110" s="258"/>
      <c r="G110" s="258"/>
      <c r="H110" s="258"/>
      <c r="I110" s="258"/>
      <c r="J110" s="258"/>
      <c r="K110" s="256">
        <f>+K105+K106+K107+K108+K109</f>
        <v>-2729</v>
      </c>
      <c r="L110" s="256"/>
      <c r="M110" s="256">
        <f>SUM(M88:M109)</f>
        <v>-1095</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APRIL 2017</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-221</v>
      </c>
      <c r="N139" s="264"/>
      <c r="O139" s="6"/>
    </row>
    <row r="140" spans="1:15" ht="15.6" x14ac:dyDescent="0.3">
      <c r="A140" s="307"/>
      <c r="B140" s="258" t="s">
        <v>180</v>
      </c>
      <c r="C140" s="258"/>
      <c r="D140" s="258"/>
      <c r="E140" s="258"/>
      <c r="F140" s="258"/>
      <c r="G140" s="258"/>
      <c r="H140" s="258"/>
      <c r="I140" s="258"/>
      <c r="J140" s="258"/>
      <c r="K140" s="258"/>
      <c r="L140" s="258"/>
      <c r="M140" s="260">
        <f>115-53</f>
        <v>62</v>
      </c>
      <c r="N140" s="264"/>
      <c r="O140" s="6"/>
    </row>
    <row r="141" spans="1:15" ht="15.6" x14ac:dyDescent="0.3">
      <c r="A141" s="307"/>
      <c r="B141" s="258" t="s">
        <v>77</v>
      </c>
      <c r="C141" s="258"/>
      <c r="D141" s="258"/>
      <c r="E141" s="258"/>
      <c r="F141" s="258"/>
      <c r="G141" s="258"/>
      <c r="H141" s="258"/>
      <c r="I141" s="258"/>
      <c r="J141" s="258"/>
      <c r="K141" s="258"/>
      <c r="L141" s="258"/>
      <c r="M141" s="260">
        <f>M139+M138+M140</f>
        <v>-159</v>
      </c>
      <c r="N141" s="264"/>
      <c r="O141" s="6"/>
    </row>
    <row r="142" spans="1:15" ht="15.6" x14ac:dyDescent="0.3">
      <c r="A142" s="307"/>
      <c r="B142" s="258" t="s">
        <v>183</v>
      </c>
      <c r="C142" s="258"/>
      <c r="D142" s="258"/>
      <c r="E142" s="258"/>
      <c r="F142" s="258"/>
      <c r="G142" s="258"/>
      <c r="H142" s="258"/>
      <c r="I142" s="303"/>
      <c r="J142" s="258"/>
      <c r="K142" s="258"/>
      <c r="L142" s="258"/>
      <c r="M142" s="260">
        <f>M97</f>
        <v>159</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46335</v>
      </c>
      <c r="N148" s="318"/>
      <c r="O148" s="6"/>
      <c r="P148" s="117"/>
    </row>
    <row r="149" spans="1:16" ht="15.6" x14ac:dyDescent="0.3">
      <c r="A149" s="307"/>
      <c r="B149" s="258" t="s">
        <v>80</v>
      </c>
      <c r="C149" s="319"/>
      <c r="D149" s="319"/>
      <c r="E149" s="258"/>
      <c r="F149" s="258"/>
      <c r="G149" s="258"/>
      <c r="H149" s="258"/>
      <c r="I149" s="258"/>
      <c r="J149" s="258"/>
      <c r="K149" s="258"/>
      <c r="L149" s="258"/>
      <c r="M149" s="260">
        <f>M75</f>
        <v>46335</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+'Jan 17'!I156</f>
        <v>7636</v>
      </c>
      <c r="J154" s="258"/>
      <c r="K154" s="260">
        <f>+'Jan 17'!K156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21.897959183673468</v>
      </c>
      <c r="N161" s="264" t="s">
        <v>145</v>
      </c>
      <c r="O161" s="6"/>
    </row>
    <row r="162" spans="1:15" ht="15.6" x14ac:dyDescent="0.3">
      <c r="A162" s="307"/>
      <c r="B162" s="258" t="s">
        <v>89</v>
      </c>
      <c r="C162" s="258"/>
      <c r="D162" s="258"/>
      <c r="E162" s="258"/>
      <c r="F162" s="258"/>
      <c r="G162" s="258"/>
      <c r="H162" s="258"/>
      <c r="I162" s="258"/>
      <c r="J162" s="258"/>
      <c r="K162" s="258"/>
      <c r="L162" s="258"/>
      <c r="M162" s="309">
        <v>3.82</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16.516129032258064</v>
      </c>
      <c r="N163" s="264" t="s">
        <v>145</v>
      </c>
      <c r="O163" s="6"/>
    </row>
    <row r="164" spans="1:15" ht="15.6" x14ac:dyDescent="0.3">
      <c r="A164" s="307"/>
      <c r="B164" s="258" t="s">
        <v>91</v>
      </c>
      <c r="C164" s="258"/>
      <c r="D164" s="258"/>
      <c r="E164" s="258"/>
      <c r="F164" s="258"/>
      <c r="G164" s="258"/>
      <c r="H164" s="258"/>
      <c r="I164" s="258"/>
      <c r="J164" s="258"/>
      <c r="K164" s="258"/>
      <c r="L164" s="258"/>
      <c r="M164" s="310">
        <v>10.130000000000001</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18.862745098039216</v>
      </c>
      <c r="N165" s="264" t="s">
        <v>145</v>
      </c>
      <c r="O165" s="6"/>
    </row>
    <row r="166" spans="1:15" ht="15.6" x14ac:dyDescent="0.3">
      <c r="A166" s="307"/>
      <c r="B166" s="258" t="s">
        <v>182</v>
      </c>
      <c r="C166" s="258"/>
      <c r="D166" s="258"/>
      <c r="E166" s="258"/>
      <c r="F166" s="258"/>
      <c r="G166" s="258"/>
      <c r="H166" s="258"/>
      <c r="I166" s="258"/>
      <c r="J166" s="258"/>
      <c r="K166" s="258"/>
      <c r="L166" s="258"/>
      <c r="M166" s="310">
        <v>12.88</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APRIL 2017</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42853</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9.4799999999999995E-2</v>
      </c>
      <c r="L176" s="258"/>
      <c r="M176" s="258"/>
      <c r="N176" s="264"/>
      <c r="O176" s="6"/>
    </row>
    <row r="177" spans="1:15" ht="15.6" x14ac:dyDescent="0.3">
      <c r="A177" s="301"/>
      <c r="B177" s="258" t="s">
        <v>97</v>
      </c>
      <c r="C177" s="302"/>
      <c r="D177" s="302"/>
      <c r="E177" s="302"/>
      <c r="F177" s="302"/>
      <c r="G177" s="302"/>
      <c r="H177" s="303"/>
      <c r="I177" s="303"/>
      <c r="J177" s="303"/>
      <c r="K177" s="304">
        <f>M36</f>
        <v>1.3553506408428877E-2</v>
      </c>
      <c r="L177" s="258"/>
      <c r="M177" s="258"/>
      <c r="N177" s="264"/>
      <c r="O177" s="6"/>
    </row>
    <row r="178" spans="1:15" ht="15.6" x14ac:dyDescent="0.3">
      <c r="A178" s="301"/>
      <c r="B178" s="258" t="s">
        <v>98</v>
      </c>
      <c r="C178" s="302"/>
      <c r="D178" s="302"/>
      <c r="E178" s="302"/>
      <c r="F178" s="302"/>
      <c r="G178" s="302"/>
      <c r="H178" s="303"/>
      <c r="I178" s="303"/>
      <c r="J178" s="303"/>
      <c r="K178" s="304">
        <f>K176-K177</f>
        <v>8.1246493591571115E-2</v>
      </c>
      <c r="L178" s="258"/>
      <c r="M178" s="258"/>
      <c r="N178" s="264"/>
      <c r="O178" s="6"/>
    </row>
    <row r="179" spans="1:15" ht="15.6" x14ac:dyDescent="0.3">
      <c r="A179" s="301"/>
      <c r="B179" s="258" t="s">
        <v>211</v>
      </c>
      <c r="C179" s="302"/>
      <c r="D179" s="302"/>
      <c r="E179" s="302"/>
      <c r="F179" s="302"/>
      <c r="G179" s="302"/>
      <c r="H179" s="303"/>
      <c r="I179" s="303"/>
      <c r="J179" s="303"/>
      <c r="K179" s="304">
        <f>(+M87+M89)/E58</f>
        <v>2.2317789010272298E-2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10.36</v>
      </c>
      <c r="L184" s="258" t="s">
        <v>139</v>
      </c>
      <c r="M184" s="258"/>
      <c r="N184" s="264"/>
      <c r="O184" s="6"/>
    </row>
    <row r="185" spans="1:15" ht="15.6" x14ac:dyDescent="0.3">
      <c r="A185" s="301"/>
      <c r="B185" s="258" t="s">
        <v>103</v>
      </c>
      <c r="C185" s="302"/>
      <c r="D185" s="302"/>
      <c r="E185" s="302"/>
      <c r="F185" s="302"/>
      <c r="G185" s="302"/>
      <c r="H185" s="303"/>
      <c r="I185" s="303"/>
      <c r="J185" s="303"/>
      <c r="K185" s="304">
        <f>K80/E58</f>
        <v>5.8861894668188489E-2</v>
      </c>
      <c r="L185" s="258"/>
      <c r="M185" s="258"/>
      <c r="N185" s="264"/>
      <c r="O185" s="6"/>
    </row>
    <row r="186" spans="1:15" ht="15.6" x14ac:dyDescent="0.3">
      <c r="A186" s="301"/>
      <c r="B186" s="258" t="s">
        <v>104</v>
      </c>
      <c r="C186" s="302"/>
      <c r="D186" s="302"/>
      <c r="E186" s="302"/>
      <c r="F186" s="302"/>
      <c r="G186" s="302"/>
      <c r="H186" s="303"/>
      <c r="I186" s="303"/>
      <c r="J186" s="303"/>
      <c r="K186" s="304">
        <v>0.22309999999999999</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78">
        <v>310</v>
      </c>
      <c r="K189" s="379">
        <v>6332</v>
      </c>
      <c r="L189" s="217"/>
      <c r="M189" s="229"/>
      <c r="N189" s="230"/>
      <c r="O189" s="6"/>
    </row>
    <row r="190" spans="1:15" ht="15.6" x14ac:dyDescent="0.3">
      <c r="A190" s="275"/>
      <c r="B190" s="258" t="s">
        <v>196</v>
      </c>
      <c r="C190" s="256"/>
      <c r="D190" s="256"/>
      <c r="E190" s="256"/>
      <c r="F190" s="256"/>
      <c r="G190" s="258"/>
      <c r="H190" s="258"/>
      <c r="I190" s="258"/>
      <c r="J190" s="380">
        <v>0</v>
      </c>
      <c r="K190" s="381">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-159</v>
      </c>
      <c r="L194" s="258"/>
      <c r="M194" s="281"/>
      <c r="N194" s="286"/>
      <c r="O194" s="6"/>
    </row>
    <row r="195" spans="1:15" ht="15.6" x14ac:dyDescent="0.3">
      <c r="A195" s="275"/>
      <c r="B195" s="258" t="s">
        <v>111</v>
      </c>
      <c r="C195" s="256"/>
      <c r="D195" s="256"/>
      <c r="E195" s="256"/>
      <c r="F195" s="256"/>
      <c r="G195" s="256"/>
      <c r="H195" s="258"/>
      <c r="I195" s="258"/>
      <c r="J195" s="258"/>
      <c r="K195" s="375">
        <f>'Jan 17'!K195+'April 17'!K194</f>
        <v>37161</v>
      </c>
      <c r="L195" s="258"/>
      <c r="M195" s="281"/>
      <c r="N195" s="286"/>
      <c r="O195" s="6"/>
    </row>
    <row r="196" spans="1:15" ht="15.6" x14ac:dyDescent="0.3">
      <c r="A196" s="275"/>
      <c r="B196" s="258" t="s">
        <v>112</v>
      </c>
      <c r="C196" s="256"/>
      <c r="D196" s="256"/>
      <c r="E196" s="256"/>
      <c r="F196" s="256"/>
      <c r="G196" s="256"/>
      <c r="H196" s="258"/>
      <c r="I196" s="258"/>
      <c r="J196" s="258"/>
      <c r="K196" s="375">
        <f>'Jan 17'!K196+501</f>
        <v>17152</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0</v>
      </c>
      <c r="L198" s="258"/>
      <c r="M198" s="261"/>
      <c r="N198" s="286"/>
      <c r="O198" s="6"/>
    </row>
    <row r="199" spans="1:15" ht="15.6" x14ac:dyDescent="0.3">
      <c r="A199" s="275"/>
      <c r="B199" s="258" t="s">
        <v>113</v>
      </c>
      <c r="C199" s="256"/>
      <c r="D199" s="256"/>
      <c r="E199" s="290"/>
      <c r="F199" s="290"/>
      <c r="G199" s="291"/>
      <c r="H199" s="258"/>
      <c r="I199" s="258"/>
      <c r="J199" s="258"/>
      <c r="K199" s="376">
        <v>0</v>
      </c>
      <c r="L199" s="258"/>
      <c r="M199" s="261"/>
      <c r="N199" s="286"/>
      <c r="O199" s="6"/>
    </row>
    <row r="200" spans="1:15" ht="15.6" x14ac:dyDescent="0.3">
      <c r="A200" s="275"/>
      <c r="B200" s="258" t="s">
        <v>114</v>
      </c>
      <c r="C200" s="256"/>
      <c r="D200" s="256"/>
      <c r="E200" s="290"/>
      <c r="F200" s="290"/>
      <c r="G200" s="291"/>
      <c r="H200" s="258"/>
      <c r="I200" s="258"/>
      <c r="J200" s="258"/>
      <c r="K200" s="376">
        <v>0</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2162</v>
      </c>
      <c r="J205" s="232">
        <f>I205/I213</f>
        <v>0.87459546925566345</v>
      </c>
      <c r="K205" s="221">
        <v>40003</v>
      </c>
      <c r="L205" s="232">
        <f>K205/K213</f>
        <v>0.86334304521420091</v>
      </c>
      <c r="M205" s="228"/>
      <c r="N205" s="218"/>
      <c r="O205" s="6"/>
    </row>
    <row r="206" spans="1:15" ht="15.6" x14ac:dyDescent="0.3">
      <c r="A206" s="255"/>
      <c r="B206" s="256" t="s">
        <v>117</v>
      </c>
      <c r="C206" s="257"/>
      <c r="D206" s="257"/>
      <c r="E206" s="256"/>
      <c r="F206" s="257"/>
      <c r="G206" s="258"/>
      <c r="H206" s="259"/>
      <c r="I206" s="256">
        <v>60</v>
      </c>
      <c r="J206" s="259">
        <f>I206/I213</f>
        <v>2.4271844660194174E-2</v>
      </c>
      <c r="K206" s="260">
        <v>1164</v>
      </c>
      <c r="L206" s="259">
        <f>K206/K213</f>
        <v>2.5121398510844932E-2</v>
      </c>
      <c r="M206" s="261"/>
      <c r="N206" s="263"/>
      <c r="O206" s="6"/>
    </row>
    <row r="207" spans="1:15" ht="15.6" x14ac:dyDescent="0.3">
      <c r="A207" s="255"/>
      <c r="B207" s="256" t="s">
        <v>118</v>
      </c>
      <c r="C207" s="257"/>
      <c r="D207" s="257"/>
      <c r="E207" s="256"/>
      <c r="F207" s="257"/>
      <c r="G207" s="256"/>
      <c r="H207" s="259"/>
      <c r="I207" s="256">
        <v>44</v>
      </c>
      <c r="J207" s="259">
        <f>I207/I213</f>
        <v>1.7799352750809062E-2</v>
      </c>
      <c r="K207" s="260">
        <v>667</v>
      </c>
      <c r="L207" s="259">
        <f>K207/K213</f>
        <v>1.4395165641523686E-2</v>
      </c>
      <c r="M207" s="374"/>
      <c r="N207" s="263"/>
      <c r="O207" s="6"/>
    </row>
    <row r="208" spans="1:15" ht="15.6" x14ac:dyDescent="0.3">
      <c r="A208" s="255"/>
      <c r="B208" s="256" t="s">
        <v>167</v>
      </c>
      <c r="C208" s="257"/>
      <c r="D208" s="257"/>
      <c r="E208" s="256"/>
      <c r="F208" s="257"/>
      <c r="G208" s="256"/>
      <c r="H208" s="259"/>
      <c r="I208" s="256">
        <v>41</v>
      </c>
      <c r="J208" s="259">
        <f>I208/I213</f>
        <v>1.6585760517799353E-2</v>
      </c>
      <c r="K208" s="260">
        <v>813</v>
      </c>
      <c r="L208" s="259">
        <f>K208/K213</f>
        <v>1.7546131434121075E-2</v>
      </c>
      <c r="M208" s="374"/>
      <c r="N208" s="263"/>
      <c r="O208" s="6"/>
    </row>
    <row r="209" spans="1:15" ht="15.6" x14ac:dyDescent="0.3">
      <c r="A209" s="255"/>
      <c r="B209" s="256" t="s">
        <v>168</v>
      </c>
      <c r="C209" s="257"/>
      <c r="D209" s="257"/>
      <c r="E209" s="256"/>
      <c r="F209" s="257"/>
      <c r="G209" s="258"/>
      <c r="H209" s="259"/>
      <c r="I209" s="256">
        <v>21</v>
      </c>
      <c r="J209" s="259">
        <f>I209/I213</f>
        <v>8.4951456310679609E-3</v>
      </c>
      <c r="K209" s="260">
        <v>441</v>
      </c>
      <c r="L209" s="259">
        <f>K209/K213</f>
        <v>9.5176432502427962E-3</v>
      </c>
      <c r="M209" s="374"/>
      <c r="N209" s="263"/>
      <c r="O209" s="6"/>
    </row>
    <row r="210" spans="1:15" ht="15.6" x14ac:dyDescent="0.3">
      <c r="A210" s="255"/>
      <c r="B210" s="256" t="s">
        <v>169</v>
      </c>
      <c r="C210" s="257"/>
      <c r="D210" s="257"/>
      <c r="E210" s="256"/>
      <c r="F210" s="257"/>
      <c r="G210" s="258"/>
      <c r="H210" s="259"/>
      <c r="I210" s="256">
        <v>28</v>
      </c>
      <c r="J210" s="259">
        <f>I210/I213</f>
        <v>1.1326860841423949E-2</v>
      </c>
      <c r="K210" s="260">
        <v>556</v>
      </c>
      <c r="L210" s="259">
        <f>K210/K213</f>
        <v>1.1999568360850329E-2</v>
      </c>
      <c r="M210" s="374"/>
      <c r="N210" s="262"/>
      <c r="O210" s="6"/>
    </row>
    <row r="211" spans="1:15" ht="15.6" x14ac:dyDescent="0.3">
      <c r="A211" s="255"/>
      <c r="B211" s="256" t="s">
        <v>176</v>
      </c>
      <c r="C211" s="257"/>
      <c r="D211" s="257"/>
      <c r="E211" s="256"/>
      <c r="F211" s="257"/>
      <c r="G211" s="258"/>
      <c r="H211" s="259"/>
      <c r="I211" s="256">
        <v>71</v>
      </c>
      <c r="J211" s="259">
        <f>I211/I213</f>
        <v>2.8721682847896439E-2</v>
      </c>
      <c r="K211" s="260">
        <v>1824</v>
      </c>
      <c r="L211" s="259">
        <f>K211/K213</f>
        <v>3.936549044998381E-2</v>
      </c>
      <c r="M211" s="261"/>
      <c r="N211" s="263"/>
      <c r="O211" s="6"/>
    </row>
    <row r="212" spans="1:15" ht="15.6" x14ac:dyDescent="0.3">
      <c r="A212" s="255"/>
      <c r="B212" s="256" t="s">
        <v>202</v>
      </c>
      <c r="C212" s="257"/>
      <c r="D212" s="257"/>
      <c r="E212" s="256"/>
      <c r="F212" s="257"/>
      <c r="G212" s="258"/>
      <c r="H212" s="259"/>
      <c r="I212" s="256">
        <v>45</v>
      </c>
      <c r="J212" s="259">
        <f>+I212/I213</f>
        <v>1.820388349514563E-2</v>
      </c>
      <c r="K212" s="260">
        <v>867</v>
      </c>
      <c r="L212" s="259">
        <f>+K212/K213</f>
        <v>1.8711557138232436E-2</v>
      </c>
      <c r="M212" s="261"/>
      <c r="N212" s="263"/>
      <c r="O212" s="6"/>
    </row>
    <row r="213" spans="1:15" ht="15.6" x14ac:dyDescent="0.3">
      <c r="A213" s="255"/>
      <c r="B213" s="258" t="s">
        <v>189</v>
      </c>
      <c r="C213" s="258"/>
      <c r="D213" s="258"/>
      <c r="E213" s="258"/>
      <c r="F213" s="258"/>
      <c r="G213" s="256"/>
      <c r="H213" s="258"/>
      <c r="I213" s="256">
        <f>SUM(I205:I212)</f>
        <v>2472</v>
      </c>
      <c r="J213" s="259">
        <f>SUM(J205:J212)</f>
        <v>1</v>
      </c>
      <c r="K213" s="260">
        <f>SUM(K205:K212)</f>
        <v>46335</v>
      </c>
      <c r="L213" s="259">
        <f>SUM(L205:L212)</f>
        <v>1</v>
      </c>
      <c r="M213" s="258"/>
      <c r="N213" s="264"/>
      <c r="O213" s="6"/>
    </row>
    <row r="214" spans="1:15" ht="15.6" x14ac:dyDescent="0.3">
      <c r="A214" s="255"/>
      <c r="B214" s="256" t="s">
        <v>170</v>
      </c>
      <c r="C214" s="257"/>
      <c r="D214" s="257"/>
      <c r="E214" s="256"/>
      <c r="F214" s="257"/>
      <c r="G214" s="256"/>
      <c r="H214" s="259"/>
      <c r="I214" s="256">
        <v>279</v>
      </c>
      <c r="J214" s="259"/>
      <c r="K214" s="260">
        <v>7563</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1.1539999999999999</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262</v>
      </c>
      <c r="C220" s="208"/>
      <c r="D220" s="208"/>
      <c r="E220" s="208"/>
      <c r="F220" s="235" t="s">
        <v>222</v>
      </c>
      <c r="G220" s="208"/>
      <c r="H220" s="208" t="s">
        <v>223</v>
      </c>
      <c r="I220" s="216"/>
      <c r="J220" s="216"/>
      <c r="K220" s="216"/>
      <c r="L220" s="216"/>
      <c r="M220" s="216"/>
      <c r="N220" s="216"/>
      <c r="O220" s="6"/>
    </row>
    <row r="221" spans="1:15" ht="15.6" x14ac:dyDescent="0.3">
      <c r="A221" s="233"/>
      <c r="B221" s="208" t="s">
        <v>263</v>
      </c>
      <c r="C221" s="208"/>
      <c r="D221" s="208"/>
      <c r="E221" s="208"/>
      <c r="F221" s="235" t="s">
        <v>225</v>
      </c>
      <c r="G221" s="208"/>
      <c r="H221" s="208" t="s">
        <v>226</v>
      </c>
      <c r="I221" s="216"/>
      <c r="J221" s="216"/>
      <c r="K221" s="216"/>
      <c r="L221" s="216"/>
      <c r="M221" s="216"/>
      <c r="N221" s="216"/>
      <c r="O221" s="6"/>
    </row>
    <row r="222" spans="1:15" ht="15.6" x14ac:dyDescent="0.3">
      <c r="A222" s="233"/>
      <c r="B222" s="208"/>
      <c r="C222" s="236"/>
      <c r="D222" s="236"/>
      <c r="E222" s="211"/>
      <c r="F222" s="208"/>
      <c r="G222" s="208"/>
      <c r="H222" s="236"/>
      <c r="I222" s="236"/>
      <c r="J222" s="216"/>
      <c r="K222" s="216"/>
      <c r="L222" s="216"/>
      <c r="M222" s="216"/>
      <c r="N222" s="216"/>
      <c r="O222" s="6"/>
    </row>
    <row r="223" spans="1:15" ht="18" thickBot="1" x14ac:dyDescent="0.35">
      <c r="A223" s="233"/>
      <c r="B223" s="237" t="str">
        <f>B170</f>
        <v>PSF1 INVESTOR REPORT QUARTER ENDING APRIL 2017</v>
      </c>
      <c r="C223" s="236"/>
      <c r="D223" s="236"/>
      <c r="E223" s="211"/>
      <c r="F223" s="208"/>
      <c r="G223" s="208"/>
      <c r="H223" s="236"/>
      <c r="I223" s="236"/>
      <c r="J223" s="216"/>
      <c r="K223" s="216"/>
      <c r="L223" s="216"/>
      <c r="M223" s="216"/>
      <c r="N223" s="216"/>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hyperlinks>
    <hyperlink ref="I10" r:id="rId1" xr:uid="{00000000-0004-0000-3000-000000000000}"/>
    <hyperlink ref="K202" r:id="rId2" xr:uid="{00000000-0004-0000-30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4" max="14" man="1"/>
    <brk id="170" max="14" man="1"/>
  </rowBreaks>
  <colBreaks count="1" manualBreakCount="1">
    <brk id="14" max="224"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38855</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4.7743800000000003E-2</v>
      </c>
      <c r="D36" s="27"/>
      <c r="E36" s="41">
        <v>5.3243800000000001E-2</v>
      </c>
      <c r="F36" s="42"/>
      <c r="G36" s="41">
        <v>5.5743800000000003E-2</v>
      </c>
      <c r="H36" s="42"/>
      <c r="I36" s="41"/>
      <c r="J36" s="42"/>
      <c r="K36" s="41"/>
      <c r="L36" s="142"/>
      <c r="M36" s="42">
        <f>SUMPRODUCT(C36:G36,C31:G31)/M31</f>
        <v>4.9233800000000001E-2</v>
      </c>
      <c r="N36" s="27"/>
      <c r="O36" s="6"/>
    </row>
    <row r="37" spans="1:15" ht="15.6" x14ac:dyDescent="0.3">
      <c r="A37" s="26"/>
      <c r="B37" s="27" t="s">
        <v>19</v>
      </c>
      <c r="C37" s="41">
        <v>4.82625E-2</v>
      </c>
      <c r="D37" s="27"/>
      <c r="E37" s="41">
        <v>5.3762499999999998E-2</v>
      </c>
      <c r="F37" s="42"/>
      <c r="G37" s="41">
        <v>5.62625E-2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27"/>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38852</v>
      </c>
      <c r="N47" s="27"/>
      <c r="O47" s="6"/>
    </row>
    <row r="48" spans="1:15" ht="15.6" x14ac:dyDescent="0.3">
      <c r="A48" s="26"/>
      <c r="B48" s="27" t="s">
        <v>26</v>
      </c>
      <c r="C48" s="27"/>
      <c r="D48" s="27"/>
      <c r="E48" s="27"/>
      <c r="F48" s="27"/>
      <c r="G48" s="27"/>
      <c r="H48" s="27"/>
      <c r="I48" s="27"/>
      <c r="J48" s="27">
        <f>M48-K48+1</f>
        <v>92</v>
      </c>
      <c r="K48" s="48">
        <v>38671</v>
      </c>
      <c r="L48" s="49"/>
      <c r="M48" s="48">
        <v>38762</v>
      </c>
      <c r="N48" s="27"/>
      <c r="O48" s="6"/>
    </row>
    <row r="49" spans="1:15" ht="15.6" x14ac:dyDescent="0.3">
      <c r="A49" s="26"/>
      <c r="B49" s="27" t="s">
        <v>27</v>
      </c>
      <c r="C49" s="27"/>
      <c r="D49" s="27"/>
      <c r="E49" s="27"/>
      <c r="F49" s="27"/>
      <c r="G49" s="27"/>
      <c r="H49" s="27"/>
      <c r="I49" s="27"/>
      <c r="J49" s="27">
        <f>M49-K49+1</f>
        <v>89</v>
      </c>
      <c r="K49" s="48">
        <v>38763</v>
      </c>
      <c r="L49" s="49"/>
      <c r="M49" s="48">
        <v>38851</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38839</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208</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262508</v>
      </c>
      <c r="F59" s="37"/>
      <c r="G59" s="37">
        <f>26157+2694+540+909+77</f>
        <v>30377</v>
      </c>
      <c r="H59" s="37"/>
      <c r="I59" s="37">
        <f>446+30344</f>
        <v>30790</v>
      </c>
      <c r="J59" s="37"/>
      <c r="K59" s="37">
        <v>0</v>
      </c>
      <c r="L59" s="37"/>
      <c r="M59" s="56">
        <f>E59-G59+I59-K59</f>
        <v>262921</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262508</v>
      </c>
      <c r="F63" s="37"/>
      <c r="G63" s="37">
        <f>SUM(G59:G62)</f>
        <v>30377</v>
      </c>
      <c r="H63" s="37"/>
      <c r="I63" s="37">
        <f>SUM(I59:I62)</f>
        <v>30790</v>
      </c>
      <c r="J63" s="37"/>
      <c r="K63" s="37">
        <f>SUM(K59:K62)</f>
        <v>0</v>
      </c>
      <c r="L63" s="37"/>
      <c r="M63" s="57">
        <f>SUM(M59:M62)</f>
        <v>262921</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v>0</v>
      </c>
      <c r="J73" s="37"/>
      <c r="K73" s="37"/>
      <c r="L73" s="37"/>
      <c r="M73" s="57">
        <f>+E73+I73</f>
        <v>0</v>
      </c>
      <c r="N73" s="27"/>
      <c r="O73" s="6"/>
    </row>
    <row r="74" spans="1:16" ht="15.6" x14ac:dyDescent="0.3">
      <c r="A74" s="26"/>
      <c r="B74" s="27" t="s">
        <v>171</v>
      </c>
      <c r="C74" s="37">
        <v>0</v>
      </c>
      <c r="D74" s="37"/>
      <c r="E74" s="37">
        <v>37492</v>
      </c>
      <c r="F74" s="37"/>
      <c r="G74" s="37"/>
      <c r="H74" s="37"/>
      <c r="I74" s="37"/>
      <c r="J74" s="37"/>
      <c r="K74" s="37"/>
      <c r="L74" s="37"/>
      <c r="M74" s="57">
        <f>K112-M73</f>
        <v>37079</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38837</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+'Jan 2006'!K112</f>
        <v>37492</v>
      </c>
      <c r="L80" s="27"/>
      <c r="M80" s="56">
        <v>0</v>
      </c>
      <c r="N80" s="27"/>
      <c r="O80" s="6"/>
    </row>
    <row r="81" spans="1:16" ht="15.6" x14ac:dyDescent="0.3">
      <c r="A81" s="26"/>
      <c r="B81" s="27" t="s">
        <v>42</v>
      </c>
      <c r="C81" s="43" t="s">
        <v>207</v>
      </c>
      <c r="D81" s="60" t="s">
        <v>207</v>
      </c>
      <c r="E81" s="61"/>
      <c r="F81" s="27"/>
      <c r="G81" s="27"/>
      <c r="H81" s="27"/>
      <c r="I81" s="27"/>
      <c r="J81" s="27"/>
      <c r="K81" s="37">
        <f>30377-909</f>
        <v>29468</v>
      </c>
      <c r="L81" s="27"/>
      <c r="M81" s="56"/>
      <c r="N81" s="27"/>
      <c r="O81" s="6"/>
    </row>
    <row r="82" spans="1:16" ht="15.6" x14ac:dyDescent="0.3">
      <c r="A82" s="26"/>
      <c r="B82" s="27" t="s">
        <v>204</v>
      </c>
      <c r="C82" s="43"/>
      <c r="D82" s="60"/>
      <c r="E82" s="61"/>
      <c r="F82" s="27"/>
      <c r="G82" s="27"/>
      <c r="H82" s="27"/>
      <c r="I82" s="27"/>
      <c r="J82" s="27"/>
      <c r="K82" s="37"/>
      <c r="L82" s="27"/>
      <c r="M82" s="56">
        <f>8368-2662</f>
        <v>5706</v>
      </c>
      <c r="N82" s="27"/>
      <c r="O82" s="6"/>
    </row>
    <row r="83" spans="1:16" ht="15.6" x14ac:dyDescent="0.3">
      <c r="A83" s="26"/>
      <c r="B83" s="27" t="s">
        <v>205</v>
      </c>
      <c r="C83" s="43"/>
      <c r="D83" s="60"/>
      <c r="E83" s="61"/>
      <c r="F83" s="27"/>
      <c r="G83" s="27"/>
      <c r="H83" s="27"/>
      <c r="I83" s="27"/>
      <c r="J83" s="27"/>
      <c r="K83" s="37"/>
      <c r="L83" s="27"/>
      <c r="M83" s="56">
        <v>1616</v>
      </c>
      <c r="N83" s="27"/>
      <c r="O83" s="6"/>
    </row>
    <row r="84" spans="1:16" ht="15.6" x14ac:dyDescent="0.3">
      <c r="A84" s="26"/>
      <c r="B84" s="27" t="s">
        <v>206</v>
      </c>
      <c r="C84" s="43"/>
      <c r="D84" s="60"/>
      <c r="E84" s="61"/>
      <c r="F84" s="27"/>
      <c r="G84" s="27"/>
      <c r="H84" s="27"/>
      <c r="I84" s="27"/>
      <c r="J84" s="27"/>
      <c r="K84" s="37"/>
      <c r="L84" s="27"/>
      <c r="M84" s="56">
        <v>495</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66960</v>
      </c>
      <c r="L86" s="27"/>
      <c r="M86" s="57">
        <f>SUM(M80:M85)</f>
        <v>7817</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66960</v>
      </c>
      <c r="L88" s="27"/>
      <c r="M88" s="57">
        <f>M86+M87</f>
        <v>7817</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-130</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-97-66-7</f>
        <v>-170</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-2689</v>
      </c>
      <c r="N94" s="27"/>
      <c r="O94" s="6"/>
    </row>
    <row r="95" spans="1:16" ht="15.6" x14ac:dyDescent="0.3">
      <c r="A95" s="26">
        <v>5</v>
      </c>
      <c r="B95" s="27" t="s">
        <v>52</v>
      </c>
      <c r="C95" s="27"/>
      <c r="D95" s="27"/>
      <c r="E95" s="27"/>
      <c r="F95" s="27"/>
      <c r="G95" s="27"/>
      <c r="H95" s="27"/>
      <c r="I95" s="27"/>
      <c r="J95" s="27"/>
      <c r="K95" s="27"/>
      <c r="L95" s="27"/>
      <c r="M95" s="56">
        <v>-545</v>
      </c>
      <c r="N95" s="27"/>
      <c r="O95" s="6"/>
    </row>
    <row r="96" spans="1:16" ht="15.6" x14ac:dyDescent="0.3">
      <c r="A96" s="26">
        <v>6</v>
      </c>
      <c r="B96" s="27" t="s">
        <v>172</v>
      </c>
      <c r="C96" s="27"/>
      <c r="D96" s="27"/>
      <c r="E96" s="27"/>
      <c r="F96" s="27"/>
      <c r="G96" s="27"/>
      <c r="H96" s="27"/>
      <c r="I96" s="27"/>
      <c r="J96" s="27"/>
      <c r="K96" s="27"/>
      <c r="L96" s="27"/>
      <c r="M96" s="56">
        <v>-367</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909</v>
      </c>
      <c r="L98" s="27"/>
      <c r="M98" s="56">
        <v>-909</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-96</v>
      </c>
      <c r="N102" s="27"/>
      <c r="O102" s="6"/>
    </row>
    <row r="103" spans="1:16" ht="15.6" x14ac:dyDescent="0.3">
      <c r="A103" s="26">
        <v>13</v>
      </c>
      <c r="B103" s="27" t="s">
        <v>195</v>
      </c>
      <c r="C103" s="27"/>
      <c r="D103" s="27"/>
      <c r="E103" s="27"/>
      <c r="F103" s="27"/>
      <c r="G103" s="27"/>
      <c r="H103" s="27"/>
      <c r="I103" s="27"/>
      <c r="J103" s="27"/>
      <c r="K103" s="27"/>
      <c r="L103" s="27"/>
      <c r="M103" s="56">
        <f>-M88-SUM(M90:M102)</f>
        <v>-2904</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-446</v>
      </c>
      <c r="L106" s="37"/>
      <c r="M106" s="56"/>
      <c r="N106" s="27"/>
      <c r="O106" s="6"/>
      <c r="P106" s="117"/>
    </row>
    <row r="107" spans="1:16" ht="15.6" x14ac:dyDescent="0.3">
      <c r="A107" s="26"/>
      <c r="B107" s="27" t="s">
        <v>187</v>
      </c>
      <c r="C107" s="27"/>
      <c r="D107" s="27"/>
      <c r="E107" s="27"/>
      <c r="F107" s="27"/>
      <c r="G107" s="27"/>
      <c r="H107" s="27"/>
      <c r="I107" s="27"/>
      <c r="J107" s="27"/>
      <c r="K107" s="37">
        <v>-30344</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-30790</v>
      </c>
      <c r="L111" s="37"/>
      <c r="M111" s="37">
        <f>SUM(M89:M110)</f>
        <v>-7817</v>
      </c>
      <c r="N111" s="27"/>
      <c r="O111" s="6"/>
    </row>
    <row r="112" spans="1:16" ht="15.6" x14ac:dyDescent="0.3">
      <c r="A112" s="26"/>
      <c r="B112" s="27" t="s">
        <v>61</v>
      </c>
      <c r="C112" s="27"/>
      <c r="D112" s="27"/>
      <c r="E112" s="27"/>
      <c r="F112" s="27"/>
      <c r="G112" s="27"/>
      <c r="H112" s="27"/>
      <c r="I112" s="27"/>
      <c r="J112" s="27"/>
      <c r="K112" s="37">
        <f>K88+K111+K98</f>
        <v>37079</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APRIL 2006</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472</v>
      </c>
      <c r="N138" s="27"/>
      <c r="O138" s="6"/>
    </row>
    <row r="139" spans="1:15" ht="15.6" x14ac:dyDescent="0.3">
      <c r="A139" s="26"/>
      <c r="B139" s="27" t="s">
        <v>180</v>
      </c>
      <c r="C139" s="27"/>
      <c r="D139" s="27"/>
      <c r="E139" s="27"/>
      <c r="F139" s="27"/>
      <c r="G139" s="27"/>
      <c r="H139" s="27"/>
      <c r="I139" s="27"/>
      <c r="J139" s="27"/>
      <c r="K139" s="27"/>
      <c r="L139" s="27"/>
      <c r="M139" s="56">
        <v>437</v>
      </c>
      <c r="N139" s="27"/>
      <c r="O139" s="6"/>
    </row>
    <row r="140" spans="1:15" ht="15.6" x14ac:dyDescent="0.3">
      <c r="A140" s="26"/>
      <c r="B140" s="27" t="s">
        <v>77</v>
      </c>
      <c r="C140" s="27"/>
      <c r="D140" s="27"/>
      <c r="E140" s="27"/>
      <c r="F140" s="27"/>
      <c r="G140" s="27"/>
      <c r="H140" s="27"/>
      <c r="I140" s="27"/>
      <c r="J140" s="27"/>
      <c r="K140" s="27"/>
      <c r="L140" s="27"/>
      <c r="M140" s="56">
        <f>M138+M137+M139</f>
        <v>909</v>
      </c>
      <c r="N140" s="27"/>
      <c r="O140" s="6"/>
    </row>
    <row r="141" spans="1:15" ht="15.6" x14ac:dyDescent="0.3">
      <c r="A141" s="26"/>
      <c r="B141" s="27" t="s">
        <v>183</v>
      </c>
      <c r="C141" s="27"/>
      <c r="D141" s="27"/>
      <c r="E141" s="27"/>
      <c r="F141" s="27"/>
      <c r="G141" s="27"/>
      <c r="H141" s="27"/>
      <c r="I141" s="70"/>
      <c r="J141" s="27"/>
      <c r="K141" s="27"/>
      <c r="L141" s="27"/>
      <c r="M141" s="56">
        <f>M98</f>
        <v>-909</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'Jan 2006'!I155</f>
        <v>1578</v>
      </c>
      <c r="J153" s="27"/>
      <c r="K153" s="56">
        <v>0</v>
      </c>
      <c r="L153" s="27"/>
      <c r="M153" s="56">
        <f>K153+I153</f>
        <v>1578</v>
      </c>
      <c r="N153" s="27"/>
      <c r="O153" s="6"/>
    </row>
    <row r="154" spans="1:16" ht="15.6" x14ac:dyDescent="0.3">
      <c r="A154" s="26"/>
      <c r="B154" s="27" t="s">
        <v>84</v>
      </c>
      <c r="C154" s="27"/>
      <c r="D154" s="27"/>
      <c r="E154" s="27"/>
      <c r="F154" s="27"/>
      <c r="G154" s="27"/>
      <c r="H154" s="27"/>
      <c r="I154" s="37">
        <v>446</v>
      </c>
      <c r="J154" s="27"/>
      <c r="K154" s="27">
        <v>0</v>
      </c>
      <c r="L154" s="27"/>
      <c r="M154" s="56">
        <f>K154+I154</f>
        <v>446</v>
      </c>
      <c r="N154" s="27"/>
      <c r="O154" s="6"/>
    </row>
    <row r="155" spans="1:16" ht="15.6" x14ac:dyDescent="0.3">
      <c r="A155" s="26"/>
      <c r="B155" s="27" t="s">
        <v>85</v>
      </c>
      <c r="C155" s="27"/>
      <c r="D155" s="27"/>
      <c r="E155" s="27"/>
      <c r="F155" s="27"/>
      <c r="G155" s="27"/>
      <c r="H155" s="27"/>
      <c r="I155" s="56">
        <f>I153+I154</f>
        <v>2024</v>
      </c>
      <c r="J155" s="27"/>
      <c r="K155" s="56">
        <f>K154+K153</f>
        <v>0</v>
      </c>
      <c r="L155" s="27"/>
      <c r="M155" s="56">
        <f>K155+I155</f>
        <v>2024</v>
      </c>
      <c r="N155" s="27"/>
      <c r="O155" s="6"/>
    </row>
    <row r="156" spans="1:16" ht="15.6" x14ac:dyDescent="0.3">
      <c r="A156" s="26"/>
      <c r="B156" s="27" t="s">
        <v>86</v>
      </c>
      <c r="C156" s="27"/>
      <c r="D156" s="27"/>
      <c r="E156" s="27"/>
      <c r="F156" s="27"/>
      <c r="G156" s="27"/>
      <c r="H156" s="27"/>
      <c r="I156" s="56">
        <f>I152-I155-K155</f>
        <v>12976</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2.7947192264782448</v>
      </c>
      <c r="N160" s="27" t="s">
        <v>145</v>
      </c>
      <c r="O160" s="6"/>
    </row>
    <row r="161" spans="1:15" ht="15.6" x14ac:dyDescent="0.3">
      <c r="A161" s="26"/>
      <c r="B161" s="27" t="s">
        <v>89</v>
      </c>
      <c r="C161" s="27"/>
      <c r="D161" s="27"/>
      <c r="E161" s="27"/>
      <c r="F161" s="27"/>
      <c r="G161" s="27"/>
      <c r="H161" s="27"/>
      <c r="I161" s="27"/>
      <c r="J161" s="27"/>
      <c r="K161" s="27"/>
      <c r="L161" s="27"/>
      <c r="M161" s="73">
        <v>2.5099999999999998</v>
      </c>
      <c r="N161" s="27" t="s">
        <v>145</v>
      </c>
      <c r="O161" s="6"/>
    </row>
    <row r="162" spans="1:15" ht="15.6" x14ac:dyDescent="0.3">
      <c r="A162" s="26"/>
      <c r="B162" s="27" t="s">
        <v>90</v>
      </c>
      <c r="C162" s="27"/>
      <c r="D162" s="27"/>
      <c r="E162" s="27"/>
      <c r="F162" s="27"/>
      <c r="G162" s="27"/>
      <c r="H162" s="27"/>
      <c r="I162" s="27"/>
      <c r="J162" s="27"/>
      <c r="K162" s="27"/>
      <c r="L162" s="27"/>
      <c r="M162" s="63">
        <f>(M88+M90+M91+M92+M93+M94)/-M95</f>
        <v>8.8550458715596339</v>
      </c>
      <c r="N162" s="27" t="s">
        <v>145</v>
      </c>
      <c r="O162" s="6"/>
    </row>
    <row r="163" spans="1:15" ht="15.6" x14ac:dyDescent="0.3">
      <c r="A163" s="26"/>
      <c r="B163" s="27" t="s">
        <v>91</v>
      </c>
      <c r="C163" s="27"/>
      <c r="D163" s="27"/>
      <c r="E163" s="27"/>
      <c r="F163" s="27"/>
      <c r="G163" s="27"/>
      <c r="H163" s="27"/>
      <c r="I163" s="27"/>
      <c r="J163" s="27"/>
      <c r="K163" s="27"/>
      <c r="L163" s="27"/>
      <c r="M163" s="74">
        <v>7.47</v>
      </c>
      <c r="N163" s="27" t="s">
        <v>145</v>
      </c>
      <c r="O163" s="6"/>
    </row>
    <row r="164" spans="1:15" ht="15.6" x14ac:dyDescent="0.3">
      <c r="A164" s="26"/>
      <c r="B164" s="27" t="s">
        <v>181</v>
      </c>
      <c r="C164" s="27"/>
      <c r="D164" s="27"/>
      <c r="E164" s="27"/>
      <c r="F164" s="27"/>
      <c r="G164" s="27"/>
      <c r="H164" s="27"/>
      <c r="I164" s="27"/>
      <c r="J164" s="27"/>
      <c r="K164" s="27"/>
      <c r="L164" s="27"/>
      <c r="M164" s="63">
        <f>(M88+M90+M91+M92+M93+M94+M95)/-M96</f>
        <v>11.664850136239782</v>
      </c>
      <c r="N164" s="27" t="s">
        <v>145</v>
      </c>
      <c r="O164" s="6"/>
    </row>
    <row r="165" spans="1:15" ht="15.6" x14ac:dyDescent="0.3">
      <c r="A165" s="26"/>
      <c r="B165" s="27" t="s">
        <v>182</v>
      </c>
      <c r="C165" s="27"/>
      <c r="D165" s="27"/>
      <c r="E165" s="27"/>
      <c r="F165" s="27"/>
      <c r="G165" s="27"/>
      <c r="H165" s="27"/>
      <c r="I165" s="27"/>
      <c r="J165" s="27"/>
      <c r="K165" s="27"/>
      <c r="L165" s="27"/>
      <c r="M165" s="74">
        <v>9.6199999999999992</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APRIL 2006</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38837</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8.8599999999999998E-2</v>
      </c>
      <c r="L175" s="27"/>
      <c r="M175" s="27"/>
      <c r="N175" s="27"/>
      <c r="O175" s="6"/>
    </row>
    <row r="176" spans="1:15" ht="15.6" x14ac:dyDescent="0.3">
      <c r="A176" s="83"/>
      <c r="B176" s="84" t="s">
        <v>97</v>
      </c>
      <c r="C176" s="85"/>
      <c r="D176" s="85"/>
      <c r="E176" s="85"/>
      <c r="F176" s="85"/>
      <c r="G176" s="85"/>
      <c r="H176" s="70"/>
      <c r="I176" s="70"/>
      <c r="J176" s="70"/>
      <c r="K176" s="86">
        <f>M36</f>
        <v>4.9233800000000001E-2</v>
      </c>
      <c r="L176" s="27"/>
      <c r="M176" s="27"/>
      <c r="N176" s="27"/>
      <c r="O176" s="6"/>
    </row>
    <row r="177" spans="1:15" ht="15.6" x14ac:dyDescent="0.3">
      <c r="A177" s="83"/>
      <c r="B177" s="84" t="s">
        <v>98</v>
      </c>
      <c r="C177" s="85"/>
      <c r="D177" s="85"/>
      <c r="E177" s="85"/>
      <c r="F177" s="85"/>
      <c r="G177" s="85"/>
      <c r="H177" s="70"/>
      <c r="I177" s="70"/>
      <c r="J177" s="70"/>
      <c r="K177" s="86">
        <f>K175-K176</f>
        <v>3.9366199999999997E-2</v>
      </c>
      <c r="L177" s="27"/>
      <c r="M177" s="27"/>
      <c r="N177" s="27"/>
      <c r="O177" s="6"/>
    </row>
    <row r="178" spans="1:15" ht="15.6" x14ac:dyDescent="0.3">
      <c r="A178" s="83"/>
      <c r="B178" s="84" t="s">
        <v>211</v>
      </c>
      <c r="C178" s="85"/>
      <c r="D178" s="85"/>
      <c r="E178" s="85"/>
      <c r="F178" s="85"/>
      <c r="G178" s="85"/>
      <c r="H178" s="70"/>
      <c r="I178" s="70"/>
      <c r="J178" s="70"/>
      <c r="K178" s="86">
        <f>(+M88+M90)/E59</f>
        <v>2.9282917092050529E-2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15.87</v>
      </c>
      <c r="L183" s="27" t="s">
        <v>139</v>
      </c>
      <c r="M183" s="27"/>
      <c r="N183" s="27"/>
      <c r="O183" s="6"/>
    </row>
    <row r="184" spans="1:15" ht="15.6" x14ac:dyDescent="0.3">
      <c r="A184" s="83"/>
      <c r="B184" s="84" t="s">
        <v>103</v>
      </c>
      <c r="C184" s="85"/>
      <c r="D184" s="85"/>
      <c r="E184" s="85"/>
      <c r="F184" s="85"/>
      <c r="G184" s="85"/>
      <c r="H184" s="70"/>
      <c r="I184" s="70"/>
      <c r="J184" s="70"/>
      <c r="K184" s="138">
        <f>K81/E59</f>
        <v>0.11225562649519252</v>
      </c>
      <c r="L184" s="27"/>
      <c r="M184" s="27"/>
      <c r="N184" s="27"/>
      <c r="O184" s="6"/>
    </row>
    <row r="185" spans="1:15" ht="15.6" x14ac:dyDescent="0.3">
      <c r="A185" s="83"/>
      <c r="B185" s="84" t="s">
        <v>104</v>
      </c>
      <c r="C185" s="85"/>
      <c r="D185" s="85"/>
      <c r="E185" s="85"/>
      <c r="F185" s="85"/>
      <c r="G185" s="85"/>
      <c r="H185" s="70"/>
      <c r="I185" s="70"/>
      <c r="J185" s="70"/>
      <c r="K185" s="86">
        <v>0.38669999999999999</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616</v>
      </c>
      <c r="K188" s="93">
        <v>17939</v>
      </c>
      <c r="L188" s="27"/>
      <c r="M188" s="87"/>
      <c r="N188" s="94"/>
      <c r="O188" s="6"/>
    </row>
    <row r="189" spans="1:15" ht="15.6" x14ac:dyDescent="0.3">
      <c r="A189" s="92"/>
      <c r="B189" s="84" t="s">
        <v>196</v>
      </c>
      <c r="C189" s="57"/>
      <c r="D189" s="57"/>
      <c r="E189" s="57"/>
      <c r="F189" s="57"/>
      <c r="G189" s="27"/>
      <c r="H189" s="27"/>
      <c r="I189" s="27"/>
      <c r="J189" s="33">
        <v>12</v>
      </c>
      <c r="K189" s="93">
        <v>382</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30790</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909</v>
      </c>
      <c r="L193" s="27"/>
      <c r="M193" s="87"/>
      <c r="N193" s="96"/>
      <c r="O193" s="6"/>
    </row>
    <row r="194" spans="1:15" ht="15.6" x14ac:dyDescent="0.3">
      <c r="A194" s="92"/>
      <c r="B194" s="84" t="s">
        <v>111</v>
      </c>
      <c r="C194" s="57"/>
      <c r="D194" s="57"/>
      <c r="E194" s="57"/>
      <c r="F194" s="57"/>
      <c r="G194" s="57"/>
      <c r="H194" s="27"/>
      <c r="I194" s="27"/>
      <c r="J194" s="27"/>
      <c r="K194" s="93">
        <f>+'Jan 2006'!K194+'April 2006'!K193</f>
        <v>2746</v>
      </c>
      <c r="L194" s="27"/>
      <c r="M194" s="87"/>
      <c r="N194" s="96"/>
      <c r="O194" s="6"/>
    </row>
    <row r="195" spans="1:15" ht="15.6" x14ac:dyDescent="0.3">
      <c r="A195" s="92"/>
      <c r="B195" s="84" t="s">
        <v>112</v>
      </c>
      <c r="C195" s="57"/>
      <c r="D195" s="57"/>
      <c r="E195" s="57"/>
      <c r="F195" s="57"/>
      <c r="G195" s="57"/>
      <c r="H195" s="27"/>
      <c r="I195" s="27"/>
      <c r="J195" s="27"/>
      <c r="K195" s="93">
        <f>+'Jan 2006'!K195+237</f>
        <v>581</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5</v>
      </c>
      <c r="L197" s="27"/>
      <c r="M197" s="87"/>
      <c r="N197" s="96"/>
      <c r="O197" s="6"/>
    </row>
    <row r="198" spans="1:15" ht="15.6" x14ac:dyDescent="0.3">
      <c r="A198" s="92"/>
      <c r="B198" s="84" t="s">
        <v>113</v>
      </c>
      <c r="C198" s="57"/>
      <c r="D198" s="57"/>
      <c r="E198" s="97"/>
      <c r="F198" s="97"/>
      <c r="G198" s="98"/>
      <c r="H198" s="27"/>
      <c r="I198" s="27"/>
      <c r="J198" s="27"/>
      <c r="K198" s="68">
        <v>11.97</v>
      </c>
      <c r="L198" s="27"/>
      <c r="M198" s="87"/>
      <c r="N198" s="96"/>
      <c r="O198" s="6"/>
    </row>
    <row r="199" spans="1:15" ht="15.6" x14ac:dyDescent="0.3">
      <c r="A199" s="92"/>
      <c r="B199" s="84" t="s">
        <v>114</v>
      </c>
      <c r="C199" s="57"/>
      <c r="D199" s="57"/>
      <c r="E199" s="97"/>
      <c r="F199" s="97"/>
      <c r="G199" s="98"/>
      <c r="H199" s="27"/>
      <c r="I199" s="27"/>
      <c r="J199" s="27"/>
      <c r="K199" s="68">
        <v>3.82</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9288</v>
      </c>
      <c r="J204" s="103">
        <f>I204/I213</f>
        <v>0.93780290791599352</v>
      </c>
      <c r="K204" s="56">
        <v>244982</v>
      </c>
      <c r="L204" s="136">
        <f>K204/K213</f>
        <v>0.93177037969580212</v>
      </c>
      <c r="M204" s="87"/>
      <c r="N204" s="96"/>
      <c r="O204" s="6"/>
    </row>
    <row r="205" spans="1:15" ht="15.6" x14ac:dyDescent="0.3">
      <c r="A205" s="26"/>
      <c r="B205" s="57" t="s">
        <v>117</v>
      </c>
      <c r="C205" s="102"/>
      <c r="D205" s="102"/>
      <c r="E205" s="57"/>
      <c r="F205" s="102"/>
      <c r="G205" s="27"/>
      <c r="H205" s="103"/>
      <c r="I205" s="57">
        <v>202</v>
      </c>
      <c r="J205" s="103">
        <f>I205/I213</f>
        <v>2.0395799676898224E-2</v>
      </c>
      <c r="K205" s="56">
        <v>5755</v>
      </c>
      <c r="L205" s="136">
        <f>K205/K213</f>
        <v>2.1888704211531222E-2</v>
      </c>
      <c r="M205" s="87"/>
      <c r="N205" s="96"/>
      <c r="O205" s="6"/>
    </row>
    <row r="206" spans="1:15" ht="15.6" x14ac:dyDescent="0.3">
      <c r="A206" s="26"/>
      <c r="B206" s="57" t="s">
        <v>118</v>
      </c>
      <c r="C206" s="102"/>
      <c r="D206" s="102"/>
      <c r="E206" s="57"/>
      <c r="F206" s="102"/>
      <c r="G206" s="27"/>
      <c r="H206" s="103"/>
      <c r="I206" s="57">
        <v>119</v>
      </c>
      <c r="J206" s="103">
        <f>I206/I213</f>
        <v>1.2015347334410339E-2</v>
      </c>
      <c r="K206" s="56">
        <v>3233</v>
      </c>
      <c r="L206" s="136">
        <f>K206/K213</f>
        <v>1.2296469281647338E-2</v>
      </c>
      <c r="M206" s="87"/>
      <c r="N206" s="96"/>
      <c r="O206" s="6"/>
    </row>
    <row r="207" spans="1:15" ht="15.6" x14ac:dyDescent="0.3">
      <c r="A207" s="26"/>
      <c r="B207" s="57" t="s">
        <v>167</v>
      </c>
      <c r="C207" s="102"/>
      <c r="D207" s="102"/>
      <c r="E207" s="57"/>
      <c r="F207" s="102"/>
      <c r="G207" s="27"/>
      <c r="H207" s="103"/>
      <c r="I207" s="57">
        <v>88</v>
      </c>
      <c r="J207" s="103">
        <f>I207/I213</f>
        <v>8.8852988691437811E-3</v>
      </c>
      <c r="K207" s="56">
        <v>2556</v>
      </c>
      <c r="L207" s="136">
        <f>K207/K213</f>
        <v>9.721551340516733E-3</v>
      </c>
      <c r="M207" s="87"/>
      <c r="N207" s="96"/>
      <c r="O207" s="6"/>
    </row>
    <row r="208" spans="1:15" ht="15.6" x14ac:dyDescent="0.3">
      <c r="A208" s="26"/>
      <c r="B208" s="57" t="s">
        <v>168</v>
      </c>
      <c r="C208" s="102"/>
      <c r="D208" s="102"/>
      <c r="E208" s="57"/>
      <c r="F208" s="102"/>
      <c r="G208" s="27"/>
      <c r="H208" s="103"/>
      <c r="I208" s="57">
        <v>56</v>
      </c>
      <c r="J208" s="103">
        <f>I208/I213</f>
        <v>5.6542810985460417E-3</v>
      </c>
      <c r="K208" s="56">
        <v>1535</v>
      </c>
      <c r="L208" s="136">
        <f>K208/K213</f>
        <v>5.8382555976890394E-3</v>
      </c>
      <c r="M208" s="87"/>
      <c r="N208" s="96"/>
      <c r="O208" s="6"/>
    </row>
    <row r="209" spans="1:15" ht="15.6" x14ac:dyDescent="0.3">
      <c r="A209" s="26"/>
      <c r="B209" s="57" t="s">
        <v>169</v>
      </c>
      <c r="C209" s="102"/>
      <c r="D209" s="102"/>
      <c r="E209" s="57"/>
      <c r="F209" s="102"/>
      <c r="G209" s="27"/>
      <c r="H209" s="103"/>
      <c r="I209" s="57">
        <v>38</v>
      </c>
      <c r="J209" s="103">
        <f>I209/I213</f>
        <v>3.8368336025848141E-3</v>
      </c>
      <c r="K209" s="56">
        <v>1222</v>
      </c>
      <c r="L209" s="136">
        <f>K209/K213</f>
        <v>4.6477839350983754E-3</v>
      </c>
      <c r="M209" s="87"/>
      <c r="N209" s="96"/>
      <c r="O209" s="6"/>
    </row>
    <row r="210" spans="1:15" ht="15.6" x14ac:dyDescent="0.3">
      <c r="A210" s="26"/>
      <c r="B210" s="57" t="s">
        <v>176</v>
      </c>
      <c r="C210" s="102"/>
      <c r="D210" s="102"/>
      <c r="E210" s="57"/>
      <c r="F210" s="102"/>
      <c r="G210" s="27"/>
      <c r="H210" s="103"/>
      <c r="I210" s="57">
        <v>68</v>
      </c>
      <c r="J210" s="103">
        <f>I210/I213</f>
        <v>6.8659127625201937E-3</v>
      </c>
      <c r="K210" s="56">
        <v>2101</v>
      </c>
      <c r="L210" s="136">
        <f>K210/K213</f>
        <v>7.9909934923418063E-3</v>
      </c>
      <c r="M210" s="87"/>
      <c r="N210" s="96"/>
      <c r="O210" s="6"/>
    </row>
    <row r="211" spans="1:15" ht="15.6" x14ac:dyDescent="0.3">
      <c r="A211" s="26"/>
      <c r="B211" s="57" t="s">
        <v>202</v>
      </c>
      <c r="C211" s="102"/>
      <c r="D211" s="102"/>
      <c r="E211" s="57"/>
      <c r="F211" s="102"/>
      <c r="G211" s="27"/>
      <c r="H211" s="103"/>
      <c r="I211" s="57">
        <v>45</v>
      </c>
      <c r="J211" s="103">
        <f>+I211/I213</f>
        <v>4.5436187399030695E-3</v>
      </c>
      <c r="K211" s="56">
        <v>1537</v>
      </c>
      <c r="L211" s="136">
        <f>+K211/K213</f>
        <v>5.8458624453733253E-3</v>
      </c>
      <c r="M211" s="87"/>
      <c r="N211" s="94"/>
      <c r="O211" s="6"/>
    </row>
    <row r="212" spans="1:15" ht="15.6" x14ac:dyDescent="0.3">
      <c r="A212" s="26"/>
      <c r="B212" s="57" t="s">
        <v>170</v>
      </c>
      <c r="C212" s="102"/>
      <c r="D212" s="102"/>
      <c r="E212" s="57"/>
      <c r="F212" s="102"/>
      <c r="G212" s="2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27"/>
      <c r="H213" s="27"/>
      <c r="I213" s="37">
        <f>SUM(I204:I212)</f>
        <v>9904</v>
      </c>
      <c r="J213" s="136">
        <f>SUM(J204:J212)</f>
        <v>1</v>
      </c>
      <c r="K213" s="56">
        <f>SUM(K204:K212)</f>
        <v>262921</v>
      </c>
      <c r="L213" s="136">
        <f>SUM(L204:L212)</f>
        <v>0.99999999999999989</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9904</v>
      </c>
      <c r="J215" s="136"/>
      <c r="K215" s="56">
        <f>+K213+K214</f>
        <v>262921</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APRIL 2006</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400-000000000000}"/>
    <hyperlink ref="K201" r:id="rId2" xr:uid="{00000000-0004-0000-04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179687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162"/>
      <c r="B1" s="206" t="s">
        <v>148</v>
      </c>
      <c r="C1" s="163"/>
      <c r="D1" s="163"/>
      <c r="E1" s="164"/>
      <c r="F1" s="164"/>
      <c r="G1" s="164"/>
      <c r="H1" s="164"/>
      <c r="I1" s="164"/>
      <c r="J1" s="164"/>
      <c r="K1" s="164"/>
      <c r="L1" s="164"/>
      <c r="M1" s="164"/>
      <c r="N1" s="164"/>
      <c r="O1" s="6"/>
    </row>
    <row r="2" spans="1:15" ht="15.6" x14ac:dyDescent="0.3">
      <c r="A2" s="165"/>
      <c r="B2" s="166"/>
      <c r="C2" s="166"/>
      <c r="D2" s="166"/>
      <c r="E2" s="167"/>
      <c r="F2" s="167"/>
      <c r="G2" s="167"/>
      <c r="H2" s="167"/>
      <c r="I2" s="167"/>
      <c r="J2" s="167"/>
      <c r="K2" s="167"/>
      <c r="L2" s="167"/>
      <c r="M2" s="167"/>
      <c r="N2" s="167"/>
      <c r="O2" s="6"/>
    </row>
    <row r="3" spans="1:15" ht="15.6" x14ac:dyDescent="0.3">
      <c r="A3" s="168"/>
      <c r="B3" s="169" t="s">
        <v>149</v>
      </c>
      <c r="C3" s="167"/>
      <c r="D3" s="167"/>
      <c r="E3" s="167"/>
      <c r="F3" s="167"/>
      <c r="G3" s="167"/>
      <c r="H3" s="167"/>
      <c r="I3" s="167"/>
      <c r="J3" s="167"/>
      <c r="K3" s="167"/>
      <c r="L3" s="167"/>
      <c r="M3" s="167"/>
      <c r="N3" s="167"/>
      <c r="O3" s="6"/>
    </row>
    <row r="4" spans="1:15" ht="15.6" x14ac:dyDescent="0.3">
      <c r="A4" s="165"/>
      <c r="B4" s="166"/>
      <c r="C4" s="166"/>
      <c r="D4" s="166"/>
      <c r="E4" s="167"/>
      <c r="F4" s="167"/>
      <c r="G4" s="167"/>
      <c r="H4" s="167"/>
      <c r="I4" s="167"/>
      <c r="J4" s="167"/>
      <c r="K4" s="167"/>
      <c r="L4" s="167"/>
      <c r="M4" s="167"/>
      <c r="N4" s="167"/>
      <c r="O4" s="6"/>
    </row>
    <row r="5" spans="1:15" ht="16.2" x14ac:dyDescent="0.35">
      <c r="A5" s="165"/>
      <c r="B5" s="207" t="s">
        <v>0</v>
      </c>
      <c r="C5" s="171"/>
      <c r="D5" s="171"/>
      <c r="E5" s="167"/>
      <c r="F5" s="167"/>
      <c r="G5" s="167"/>
      <c r="H5" s="167"/>
      <c r="I5" s="167"/>
      <c r="J5" s="167"/>
      <c r="K5" s="167"/>
      <c r="L5" s="167"/>
      <c r="M5" s="167"/>
      <c r="N5" s="167"/>
      <c r="O5" s="6"/>
    </row>
    <row r="6" spans="1:15" ht="16.2" x14ac:dyDescent="0.35">
      <c r="A6" s="165"/>
      <c r="B6" s="207" t="s">
        <v>1</v>
      </c>
      <c r="C6" s="171"/>
      <c r="D6" s="171"/>
      <c r="E6" s="167"/>
      <c r="F6" s="167"/>
      <c r="G6" s="167"/>
      <c r="H6" s="167"/>
      <c r="I6" s="167"/>
      <c r="J6" s="167"/>
      <c r="K6" s="167"/>
      <c r="L6" s="167"/>
      <c r="M6" s="167"/>
      <c r="N6" s="167"/>
      <c r="O6" s="6"/>
    </row>
    <row r="7" spans="1:15" ht="16.2" x14ac:dyDescent="0.35">
      <c r="A7" s="165"/>
      <c r="B7" s="207" t="s">
        <v>2</v>
      </c>
      <c r="C7" s="171"/>
      <c r="D7" s="171"/>
      <c r="E7" s="167"/>
      <c r="F7" s="167"/>
      <c r="G7" s="167"/>
      <c r="H7" s="167"/>
      <c r="I7" s="167"/>
      <c r="J7" s="167"/>
      <c r="K7" s="167"/>
      <c r="L7" s="167"/>
      <c r="M7" s="167"/>
      <c r="N7" s="167"/>
      <c r="O7" s="6"/>
    </row>
    <row r="8" spans="1:15" ht="16.2" x14ac:dyDescent="0.35">
      <c r="A8" s="165"/>
      <c r="B8" s="207" t="s">
        <v>3</v>
      </c>
      <c r="C8" s="171"/>
      <c r="D8" s="171"/>
      <c r="E8" s="167"/>
      <c r="F8" s="167"/>
      <c r="G8" s="167"/>
      <c r="H8" s="167"/>
      <c r="I8" s="167"/>
      <c r="J8" s="167"/>
      <c r="K8" s="167"/>
      <c r="L8" s="167"/>
      <c r="M8" s="167"/>
      <c r="N8" s="167"/>
      <c r="O8" s="6"/>
    </row>
    <row r="9" spans="1:15" ht="16.2" x14ac:dyDescent="0.35">
      <c r="A9" s="165"/>
      <c r="B9" s="172"/>
      <c r="C9" s="171"/>
      <c r="D9" s="171"/>
      <c r="E9" s="167"/>
      <c r="F9" s="167"/>
      <c r="G9" s="167"/>
      <c r="H9" s="167"/>
      <c r="I9" s="167"/>
      <c r="J9" s="167"/>
      <c r="K9" s="167"/>
      <c r="L9" s="167"/>
      <c r="M9" s="167"/>
      <c r="N9" s="167"/>
      <c r="O9" s="6"/>
    </row>
    <row r="10" spans="1:15" ht="18" x14ac:dyDescent="0.35">
      <c r="A10" s="165"/>
      <c r="B10" s="173" t="s">
        <v>198</v>
      </c>
      <c r="C10" s="171"/>
      <c r="D10" s="171"/>
      <c r="E10" s="167"/>
      <c r="F10" s="167"/>
      <c r="G10" s="167"/>
      <c r="H10" s="167"/>
      <c r="I10" s="174" t="s">
        <v>199</v>
      </c>
      <c r="J10" s="167"/>
      <c r="K10" s="167"/>
      <c r="L10" s="167"/>
      <c r="M10" s="167"/>
      <c r="N10" s="167"/>
      <c r="O10" s="6"/>
    </row>
    <row r="11" spans="1:15" ht="16.2" x14ac:dyDescent="0.35">
      <c r="A11" s="165"/>
      <c r="B11" s="170"/>
      <c r="C11" s="171"/>
      <c r="D11" s="171"/>
      <c r="E11" s="175"/>
      <c r="F11" s="175"/>
      <c r="G11" s="167"/>
      <c r="H11" s="167"/>
      <c r="I11" s="167"/>
      <c r="J11" s="167"/>
      <c r="K11" s="167"/>
      <c r="L11" s="167"/>
      <c r="M11" s="167"/>
      <c r="N11" s="167"/>
      <c r="O11" s="6"/>
    </row>
    <row r="12" spans="1:15" ht="15.6" x14ac:dyDescent="0.3">
      <c r="A12" s="165"/>
      <c r="B12" s="208" t="s">
        <v>4</v>
      </c>
      <c r="C12" s="175"/>
      <c r="D12" s="175"/>
      <c r="E12" s="167"/>
      <c r="F12" s="167"/>
      <c r="G12" s="167"/>
      <c r="H12" s="167"/>
      <c r="I12" s="167"/>
      <c r="J12" s="167"/>
      <c r="K12" s="167"/>
      <c r="L12" s="167"/>
      <c r="M12" s="167"/>
      <c r="N12" s="167"/>
      <c r="O12" s="6"/>
    </row>
    <row r="13" spans="1:15" ht="16.2" thickBot="1" x14ac:dyDescent="0.35">
      <c r="A13" s="165"/>
      <c r="B13" s="175"/>
      <c r="C13" s="175"/>
      <c r="D13" s="175"/>
      <c r="E13" s="167"/>
      <c r="F13" s="167"/>
      <c r="G13" s="167"/>
      <c r="H13" s="167"/>
      <c r="I13" s="167"/>
      <c r="J13" s="167"/>
      <c r="K13" s="167"/>
      <c r="L13" s="167"/>
      <c r="M13" s="167"/>
      <c r="N13" s="167"/>
      <c r="O13" s="6"/>
    </row>
    <row r="14" spans="1:15" ht="15.6" x14ac:dyDescent="0.3">
      <c r="A14" s="162"/>
      <c r="B14" s="164"/>
      <c r="C14" s="164"/>
      <c r="D14" s="164"/>
      <c r="E14" s="164"/>
      <c r="F14" s="164"/>
      <c r="G14" s="164"/>
      <c r="H14" s="164"/>
      <c r="I14" s="164"/>
      <c r="J14" s="164"/>
      <c r="K14" s="164"/>
      <c r="L14" s="164"/>
      <c r="M14" s="164"/>
      <c r="N14" s="164"/>
      <c r="O14" s="6"/>
    </row>
    <row r="15" spans="1:15" ht="15.6" x14ac:dyDescent="0.3">
      <c r="A15" s="165"/>
      <c r="B15" s="208" t="s">
        <v>5</v>
      </c>
      <c r="C15" s="208"/>
      <c r="D15" s="208"/>
      <c r="E15" s="209"/>
      <c r="F15" s="209"/>
      <c r="G15" s="209"/>
      <c r="H15" s="209"/>
      <c r="I15" s="209"/>
      <c r="J15" s="209"/>
      <c r="K15" s="209"/>
      <c r="L15" s="209"/>
      <c r="M15" s="210" t="s">
        <v>151</v>
      </c>
      <c r="N15" s="176"/>
      <c r="O15" s="6"/>
    </row>
    <row r="16" spans="1:15" ht="15.6" x14ac:dyDescent="0.3">
      <c r="A16" s="165"/>
      <c r="B16" s="208" t="s">
        <v>6</v>
      </c>
      <c r="C16" s="208"/>
      <c r="D16" s="208"/>
      <c r="E16" s="209"/>
      <c r="F16" s="209"/>
      <c r="G16" s="209"/>
      <c r="H16" s="209"/>
      <c r="I16" s="211"/>
      <c r="J16" s="212"/>
      <c r="K16" s="211" t="s">
        <v>150</v>
      </c>
      <c r="L16" s="212">
        <v>1</v>
      </c>
      <c r="M16" s="210"/>
      <c r="N16" s="176"/>
      <c r="O16" s="6"/>
    </row>
    <row r="17" spans="1:15" ht="15.6" x14ac:dyDescent="0.3">
      <c r="A17" s="165"/>
      <c r="B17" s="208" t="s">
        <v>7</v>
      </c>
      <c r="C17" s="208"/>
      <c r="D17" s="208"/>
      <c r="E17" s="209"/>
      <c r="F17" s="209"/>
      <c r="G17" s="209"/>
      <c r="H17" s="209"/>
      <c r="I17" s="211"/>
      <c r="J17" s="212"/>
      <c r="K17" s="211" t="s">
        <v>150</v>
      </c>
      <c r="L17" s="212">
        <v>1</v>
      </c>
      <c r="M17" s="210"/>
      <c r="N17" s="176"/>
      <c r="O17" s="6"/>
    </row>
    <row r="18" spans="1:15" ht="15.6" x14ac:dyDescent="0.3">
      <c r="A18" s="165"/>
      <c r="B18" s="208" t="s">
        <v>8</v>
      </c>
      <c r="C18" s="208"/>
      <c r="D18" s="208"/>
      <c r="E18" s="209"/>
      <c r="F18" s="209"/>
      <c r="G18" s="209"/>
      <c r="H18" s="209"/>
      <c r="I18" s="209"/>
      <c r="J18" s="209"/>
      <c r="K18" s="209"/>
      <c r="L18" s="209"/>
      <c r="M18" s="213">
        <v>38336</v>
      </c>
      <c r="N18" s="176"/>
      <c r="O18" s="6"/>
    </row>
    <row r="19" spans="1:15" ht="15.6" x14ac:dyDescent="0.3">
      <c r="A19" s="165"/>
      <c r="B19" s="208" t="s">
        <v>9</v>
      </c>
      <c r="C19" s="208"/>
      <c r="D19" s="208"/>
      <c r="E19" s="209"/>
      <c r="F19" s="209"/>
      <c r="G19" s="209"/>
      <c r="H19" s="209"/>
      <c r="I19" s="209"/>
      <c r="J19" s="209"/>
      <c r="K19" s="209"/>
      <c r="L19" s="209"/>
      <c r="M19" s="213">
        <v>42965</v>
      </c>
      <c r="N19" s="176"/>
      <c r="O19" s="6"/>
    </row>
    <row r="20" spans="1:15" ht="15.6" x14ac:dyDescent="0.3">
      <c r="A20" s="165"/>
      <c r="B20" s="209"/>
      <c r="C20" s="209"/>
      <c r="D20" s="209"/>
      <c r="E20" s="209"/>
      <c r="F20" s="209"/>
      <c r="G20" s="209"/>
      <c r="H20" s="209"/>
      <c r="I20" s="209"/>
      <c r="J20" s="209"/>
      <c r="K20" s="209"/>
      <c r="L20" s="209"/>
      <c r="M20" s="214"/>
      <c r="N20" s="167"/>
      <c r="O20" s="6"/>
    </row>
    <row r="21" spans="1:15" ht="15.6" x14ac:dyDescent="0.3">
      <c r="A21" s="165"/>
      <c r="B21" s="215" t="s">
        <v>10</v>
      </c>
      <c r="C21" s="209"/>
      <c r="D21" s="209"/>
      <c r="E21" s="209"/>
      <c r="F21" s="209"/>
      <c r="G21" s="209"/>
      <c r="H21" s="209"/>
      <c r="I21" s="209"/>
      <c r="J21" s="209"/>
      <c r="K21" s="214" t="s">
        <v>130</v>
      </c>
      <c r="L21" s="209"/>
      <c r="M21" s="216"/>
      <c r="N21" s="167"/>
      <c r="O21" s="6"/>
    </row>
    <row r="22" spans="1:15" ht="15.6" x14ac:dyDescent="0.3">
      <c r="A22" s="165"/>
      <c r="B22" s="167"/>
      <c r="C22" s="167"/>
      <c r="D22" s="167"/>
      <c r="E22" s="167"/>
      <c r="F22" s="167"/>
      <c r="G22" s="167"/>
      <c r="H22" s="167"/>
      <c r="I22" s="167"/>
      <c r="J22" s="167"/>
      <c r="K22" s="167"/>
      <c r="L22" s="167"/>
      <c r="M22" s="178"/>
      <c r="N22" s="167"/>
      <c r="O22" s="6"/>
    </row>
    <row r="23" spans="1:15" ht="15.6" x14ac:dyDescent="0.3">
      <c r="A23" s="238"/>
      <c r="B23" s="242"/>
      <c r="C23" s="370" t="s">
        <v>131</v>
      </c>
      <c r="D23" s="370"/>
      <c r="E23" s="370" t="s">
        <v>124</v>
      </c>
      <c r="F23" s="370"/>
      <c r="G23" s="370" t="s">
        <v>152</v>
      </c>
      <c r="H23" s="370"/>
      <c r="I23" s="370"/>
      <c r="J23" s="364"/>
      <c r="K23" s="364"/>
      <c r="L23" s="365"/>
      <c r="M23" s="365"/>
      <c r="N23" s="242"/>
      <c r="O23" s="6"/>
    </row>
    <row r="24" spans="1:15" ht="15.6" x14ac:dyDescent="0.3">
      <c r="A24" s="307"/>
      <c r="B24" s="258" t="s">
        <v>156</v>
      </c>
      <c r="C24" s="337" t="s">
        <v>121</v>
      </c>
      <c r="D24" s="337"/>
      <c r="E24" s="337" t="s">
        <v>125</v>
      </c>
      <c r="F24" s="337"/>
      <c r="G24" s="337" t="s">
        <v>158</v>
      </c>
      <c r="H24" s="338"/>
      <c r="I24" s="338"/>
      <c r="J24" s="338"/>
      <c r="K24" s="338"/>
      <c r="L24" s="339"/>
      <c r="M24" s="339"/>
      <c r="N24" s="311"/>
      <c r="O24" s="6"/>
    </row>
    <row r="25" spans="1:15" ht="15.6" x14ac:dyDescent="0.3">
      <c r="A25" s="307"/>
      <c r="B25" s="258" t="s">
        <v>11</v>
      </c>
      <c r="C25" s="337" t="s">
        <v>121</v>
      </c>
      <c r="D25" s="337"/>
      <c r="E25" s="337" t="s">
        <v>125</v>
      </c>
      <c r="F25" s="337"/>
      <c r="G25" s="337" t="s">
        <v>158</v>
      </c>
      <c r="H25" s="338"/>
      <c r="I25" s="338"/>
      <c r="J25" s="338"/>
      <c r="K25" s="338"/>
      <c r="L25" s="339"/>
      <c r="M25" s="339"/>
      <c r="N25" s="311"/>
      <c r="O25" s="6"/>
    </row>
    <row r="26" spans="1:15" ht="15.6" x14ac:dyDescent="0.3">
      <c r="A26" s="340"/>
      <c r="B26" s="319" t="s">
        <v>157</v>
      </c>
      <c r="C26" s="341" t="s">
        <v>121</v>
      </c>
      <c r="D26" s="341"/>
      <c r="E26" s="341" t="s">
        <v>277</v>
      </c>
      <c r="F26" s="341"/>
      <c r="G26" s="341" t="s">
        <v>278</v>
      </c>
      <c r="H26" s="342"/>
      <c r="I26" s="342"/>
      <c r="J26" s="338"/>
      <c r="K26" s="338"/>
      <c r="L26" s="339"/>
      <c r="M26" s="339"/>
      <c r="N26" s="311"/>
      <c r="O26" s="6"/>
    </row>
    <row r="27" spans="1:15" ht="15.6" x14ac:dyDescent="0.3">
      <c r="A27" s="340"/>
      <c r="B27" s="319" t="s">
        <v>12</v>
      </c>
      <c r="C27" s="341" t="s">
        <v>121</v>
      </c>
      <c r="D27" s="341"/>
      <c r="E27" s="341" t="s">
        <v>283</v>
      </c>
      <c r="F27" s="341"/>
      <c r="G27" s="341" t="s">
        <v>284</v>
      </c>
      <c r="H27" s="342"/>
      <c r="I27" s="342"/>
      <c r="J27" s="338"/>
      <c r="K27" s="338"/>
      <c r="L27" s="339"/>
      <c r="M27" s="339"/>
      <c r="N27" s="311"/>
      <c r="O27" s="6"/>
    </row>
    <row r="28" spans="1:15" ht="15.6" x14ac:dyDescent="0.3">
      <c r="A28" s="307"/>
      <c r="B28" s="258" t="s">
        <v>13</v>
      </c>
      <c r="C28" s="276" t="s">
        <v>153</v>
      </c>
      <c r="D28" s="337"/>
      <c r="E28" s="276" t="s">
        <v>154</v>
      </c>
      <c r="F28" s="337"/>
      <c r="G28" s="276" t="s">
        <v>155</v>
      </c>
      <c r="H28" s="338"/>
      <c r="I28" s="343"/>
      <c r="J28" s="338"/>
      <c r="K28" s="343"/>
      <c r="L28" s="339"/>
      <c r="M28" s="339"/>
      <c r="N28" s="311"/>
      <c r="O28" s="6"/>
    </row>
    <row r="29" spans="1:15" ht="15.6" x14ac:dyDescent="0.3">
      <c r="A29" s="307"/>
      <c r="B29" s="258"/>
      <c r="C29" s="258"/>
      <c r="D29" s="337"/>
      <c r="E29" s="337"/>
      <c r="F29" s="337"/>
      <c r="G29" s="337"/>
      <c r="H29" s="338"/>
      <c r="I29" s="338"/>
      <c r="J29" s="338"/>
      <c r="K29" s="338"/>
      <c r="L29" s="339"/>
      <c r="M29" s="339"/>
      <c r="N29" s="311"/>
      <c r="O29" s="6"/>
    </row>
    <row r="30" spans="1:15" ht="15.6" x14ac:dyDescent="0.3">
      <c r="A30" s="307"/>
      <c r="B30" s="258" t="s">
        <v>14</v>
      </c>
      <c r="C30" s="344">
        <v>231000</v>
      </c>
      <c r="D30" s="345"/>
      <c r="E30" s="344">
        <v>42000</v>
      </c>
      <c r="F30" s="344"/>
      <c r="G30" s="344">
        <v>27000</v>
      </c>
      <c r="H30" s="346"/>
      <c r="I30" s="346"/>
      <c r="J30" s="346"/>
      <c r="K30" s="346"/>
      <c r="L30" s="347"/>
      <c r="M30" s="344">
        <f>C30+E30+G30</f>
        <v>300000</v>
      </c>
      <c r="N30" s="348"/>
      <c r="O30" s="6"/>
    </row>
    <row r="31" spans="1:15" ht="15.6" x14ac:dyDescent="0.3">
      <c r="A31" s="307"/>
      <c r="B31" s="258" t="s">
        <v>15</v>
      </c>
      <c r="C31" s="344">
        <f>C30*C34</f>
        <v>24974.6574</v>
      </c>
      <c r="D31" s="345"/>
      <c r="E31" s="344">
        <f>E30*E34</f>
        <v>13001.8392</v>
      </c>
      <c r="F31" s="344"/>
      <c r="G31" s="344">
        <f>G30*G34</f>
        <v>8358.3305999999993</v>
      </c>
      <c r="H31" s="346"/>
      <c r="I31" s="346"/>
      <c r="J31" s="346"/>
      <c r="K31" s="346"/>
      <c r="L31" s="347"/>
      <c r="M31" s="344">
        <f>C31+E31+G31</f>
        <v>46334.8272</v>
      </c>
      <c r="N31" s="348"/>
      <c r="O31" s="6"/>
    </row>
    <row r="32" spans="1:15" ht="15.6" x14ac:dyDescent="0.3">
      <c r="A32" s="340"/>
      <c r="B32" s="319" t="s">
        <v>16</v>
      </c>
      <c r="C32" s="349">
        <f>C30*C33</f>
        <v>22370.086200000002</v>
      </c>
      <c r="D32" s="350"/>
      <c r="E32" s="349">
        <f>E30*E33</f>
        <v>13001.8392</v>
      </c>
      <c r="F32" s="349"/>
      <c r="G32" s="349">
        <f>G30*G33</f>
        <v>8358.3305999999993</v>
      </c>
      <c r="H32" s="351"/>
      <c r="I32" s="351"/>
      <c r="J32" s="351"/>
      <c r="K32" s="351"/>
      <c r="L32" s="352"/>
      <c r="M32" s="344">
        <f>C32+E32+G32</f>
        <v>43730.256000000001</v>
      </c>
      <c r="N32" s="348"/>
      <c r="O32" s="6"/>
    </row>
    <row r="33" spans="1:15" ht="15.6" x14ac:dyDescent="0.3">
      <c r="A33" s="340"/>
      <c r="B33" s="278" t="s">
        <v>174</v>
      </c>
      <c r="C33" s="371">
        <v>9.6840200000000001E-2</v>
      </c>
      <c r="D33" s="372"/>
      <c r="E33" s="371">
        <v>0.3095676</v>
      </c>
      <c r="F33" s="371"/>
      <c r="G33" s="371">
        <v>0.3095678</v>
      </c>
      <c r="H33" s="373"/>
      <c r="I33" s="373"/>
      <c r="J33" s="351"/>
      <c r="K33" s="351"/>
      <c r="L33" s="352"/>
      <c r="M33" s="351"/>
      <c r="N33" s="348"/>
      <c r="O33" s="6"/>
    </row>
    <row r="34" spans="1:15" ht="15.6" x14ac:dyDescent="0.3">
      <c r="A34" s="340"/>
      <c r="B34" s="278" t="s">
        <v>175</v>
      </c>
      <c r="C34" s="371">
        <v>0.1081154</v>
      </c>
      <c r="D34" s="372"/>
      <c r="E34" s="371">
        <v>0.3095676</v>
      </c>
      <c r="F34" s="371"/>
      <c r="G34" s="371">
        <v>0.3095678</v>
      </c>
      <c r="H34" s="373"/>
      <c r="I34" s="373"/>
      <c r="J34" s="351"/>
      <c r="K34" s="351"/>
      <c r="L34" s="352"/>
      <c r="M34" s="351"/>
      <c r="N34" s="348"/>
      <c r="O34" s="6"/>
    </row>
    <row r="35" spans="1:15" ht="15.6" x14ac:dyDescent="0.3">
      <c r="A35" s="307"/>
      <c r="B35" s="258" t="s">
        <v>17</v>
      </c>
      <c r="C35" s="276" t="s">
        <v>164</v>
      </c>
      <c r="D35" s="258"/>
      <c r="E35" s="276" t="s">
        <v>163</v>
      </c>
      <c r="F35" s="276"/>
      <c r="G35" s="276" t="s">
        <v>162</v>
      </c>
      <c r="H35" s="276"/>
      <c r="I35" s="276"/>
      <c r="J35" s="276"/>
      <c r="K35" s="276"/>
      <c r="L35" s="321"/>
      <c r="M35" s="321"/>
      <c r="N35" s="264"/>
      <c r="O35" s="6"/>
    </row>
    <row r="36" spans="1:15" ht="15.6" x14ac:dyDescent="0.3">
      <c r="A36" s="307"/>
      <c r="B36" s="258" t="s">
        <v>18</v>
      </c>
      <c r="C36" s="356">
        <v>7.1525E-3</v>
      </c>
      <c r="D36" s="258"/>
      <c r="E36" s="356">
        <v>1.8152499999999998E-2</v>
      </c>
      <c r="F36" s="304"/>
      <c r="G36" s="356">
        <v>2.3152499999999999E-2</v>
      </c>
      <c r="H36" s="304"/>
      <c r="I36" s="356"/>
      <c r="J36" s="304"/>
      <c r="K36" s="356"/>
      <c r="L36" s="321"/>
      <c r="M36" s="304">
        <f>SUMPRODUCT(C36:G36,C31:G31)/M31</f>
        <v>1.312540499445307E-2</v>
      </c>
      <c r="N36" s="264"/>
      <c r="O36" s="6"/>
    </row>
    <row r="37" spans="1:15" ht="15.6" x14ac:dyDescent="0.3">
      <c r="A37" s="307"/>
      <c r="B37" s="258" t="s">
        <v>19</v>
      </c>
      <c r="C37" s="356">
        <v>7.5805999999999998E-3</v>
      </c>
      <c r="D37" s="258"/>
      <c r="E37" s="356">
        <v>1.8580599999999999E-2</v>
      </c>
      <c r="F37" s="304"/>
      <c r="G37" s="356">
        <v>2.35806E-2</v>
      </c>
      <c r="H37" s="304"/>
      <c r="I37" s="356"/>
      <c r="J37" s="304"/>
      <c r="K37" s="356"/>
      <c r="L37" s="321"/>
      <c r="M37" s="321"/>
      <c r="N37" s="264"/>
      <c r="O37" s="6"/>
    </row>
    <row r="38" spans="1:15" ht="15.6" x14ac:dyDescent="0.3">
      <c r="A38" s="307"/>
      <c r="B38" s="258" t="s">
        <v>20</v>
      </c>
      <c r="C38" s="357">
        <v>39767</v>
      </c>
      <c r="D38" s="357"/>
      <c r="E38" s="357">
        <v>39767</v>
      </c>
      <c r="F38" s="357"/>
      <c r="G38" s="357">
        <v>39767</v>
      </c>
      <c r="H38" s="357"/>
      <c r="I38" s="357"/>
      <c r="J38" s="276"/>
      <c r="K38" s="276"/>
      <c r="L38" s="321"/>
      <c r="M38" s="321"/>
      <c r="N38" s="264"/>
      <c r="O38" s="6"/>
    </row>
    <row r="39" spans="1:15" ht="15.6" x14ac:dyDescent="0.3">
      <c r="A39" s="307"/>
      <c r="B39" s="258" t="s">
        <v>21</v>
      </c>
      <c r="C39" s="357">
        <v>40132</v>
      </c>
      <c r="D39" s="357"/>
      <c r="E39" s="357">
        <v>40132</v>
      </c>
      <c r="F39" s="357"/>
      <c r="G39" s="357">
        <v>40132</v>
      </c>
      <c r="H39" s="357"/>
      <c r="I39" s="357"/>
      <c r="J39" s="276"/>
      <c r="K39" s="276"/>
      <c r="L39" s="321"/>
      <c r="M39" s="321"/>
      <c r="N39" s="264"/>
      <c r="O39" s="6"/>
    </row>
    <row r="40" spans="1:15" ht="15.6" x14ac:dyDescent="0.3">
      <c r="A40" s="307"/>
      <c r="B40" s="258" t="s">
        <v>22</v>
      </c>
      <c r="C40" s="276" t="s">
        <v>164</v>
      </c>
      <c r="D40" s="258"/>
      <c r="E40" s="276" t="s">
        <v>163</v>
      </c>
      <c r="F40" s="276"/>
      <c r="G40" s="276" t="s">
        <v>162</v>
      </c>
      <c r="H40" s="276"/>
      <c r="I40" s="276"/>
      <c r="J40" s="276"/>
      <c r="K40" s="276"/>
      <c r="L40" s="321"/>
      <c r="M40" s="321"/>
      <c r="N40" s="264"/>
      <c r="O40" s="6"/>
    </row>
    <row r="41" spans="1:15" ht="15.6" x14ac:dyDescent="0.3">
      <c r="A41" s="307"/>
      <c r="B41" s="258"/>
      <c r="C41" s="258"/>
      <c r="D41" s="258"/>
      <c r="E41" s="356"/>
      <c r="F41" s="258"/>
      <c r="G41" s="356"/>
      <c r="H41" s="276"/>
      <c r="I41" s="276"/>
      <c r="J41" s="290"/>
      <c r="K41" s="290"/>
      <c r="L41" s="290"/>
      <c r="M41" s="290"/>
      <c r="N41" s="264"/>
      <c r="O41" s="6"/>
    </row>
    <row r="42" spans="1:15" ht="15.6" x14ac:dyDescent="0.3">
      <c r="A42" s="307"/>
      <c r="B42" s="258" t="s">
        <v>178</v>
      </c>
      <c r="C42" s="258"/>
      <c r="D42" s="258"/>
      <c r="E42" s="358"/>
      <c r="F42" s="258"/>
      <c r="G42" s="358"/>
      <c r="H42" s="258"/>
      <c r="I42" s="358"/>
      <c r="J42" s="258"/>
      <c r="K42" s="258"/>
      <c r="L42" s="258"/>
      <c r="M42" s="304">
        <f>(E30+G30)/C30</f>
        <v>0.29870129870129869</v>
      </c>
      <c r="N42" s="264"/>
      <c r="O42" s="6"/>
    </row>
    <row r="43" spans="1:15" ht="15.6" x14ac:dyDescent="0.3">
      <c r="A43" s="307"/>
      <c r="B43" s="258" t="s">
        <v>179</v>
      </c>
      <c r="C43" s="258"/>
      <c r="D43" s="258"/>
      <c r="E43" s="358"/>
      <c r="F43" s="258"/>
      <c r="G43" s="358"/>
      <c r="H43" s="258"/>
      <c r="I43" s="358"/>
      <c r="J43" s="258"/>
      <c r="K43" s="258"/>
      <c r="L43" s="258"/>
      <c r="M43" s="304">
        <f>(G32+E32)/C32</f>
        <v>0.95485415697682907</v>
      </c>
      <c r="N43" s="264"/>
      <c r="O43" s="6"/>
    </row>
    <row r="44" spans="1:15" ht="15.6" x14ac:dyDescent="0.3">
      <c r="A44" s="307"/>
      <c r="B44" s="258" t="s">
        <v>23</v>
      </c>
      <c r="C44" s="258"/>
      <c r="D44" s="258"/>
      <c r="E44" s="258"/>
      <c r="F44" s="258"/>
      <c r="G44" s="258"/>
      <c r="H44" s="258"/>
      <c r="I44" s="258"/>
      <c r="J44" s="258"/>
      <c r="K44" s="276" t="s">
        <v>131</v>
      </c>
      <c r="L44" s="276" t="s">
        <v>138</v>
      </c>
      <c r="M44" s="344">
        <f>+M30/2-E30-G30</f>
        <v>81000</v>
      </c>
      <c r="N44" s="264"/>
      <c r="O44" s="6"/>
    </row>
    <row r="45" spans="1:15" ht="15.6" x14ac:dyDescent="0.3">
      <c r="A45" s="307"/>
      <c r="B45" s="258"/>
      <c r="C45" s="258"/>
      <c r="D45" s="258"/>
      <c r="E45" s="258"/>
      <c r="F45" s="258"/>
      <c r="G45" s="258"/>
      <c r="H45" s="258"/>
      <c r="I45" s="258"/>
      <c r="J45" s="258"/>
      <c r="K45" s="258" t="s">
        <v>235</v>
      </c>
      <c r="L45" s="258"/>
      <c r="M45" s="306"/>
      <c r="N45" s="264"/>
      <c r="O45" s="6"/>
    </row>
    <row r="46" spans="1:15" ht="15.6" x14ac:dyDescent="0.3">
      <c r="A46" s="307"/>
      <c r="B46" s="258" t="s">
        <v>24</v>
      </c>
      <c r="C46" s="258"/>
      <c r="D46" s="258"/>
      <c r="E46" s="258"/>
      <c r="F46" s="258"/>
      <c r="G46" s="258"/>
      <c r="H46" s="258"/>
      <c r="I46" s="258"/>
      <c r="J46" s="258"/>
      <c r="K46" s="276"/>
      <c r="L46" s="276"/>
      <c r="M46" s="276" t="s">
        <v>140</v>
      </c>
      <c r="N46" s="264"/>
      <c r="O46" s="6"/>
    </row>
    <row r="47" spans="1:15" ht="15.6" x14ac:dyDescent="0.3">
      <c r="A47" s="307"/>
      <c r="B47" s="319" t="s">
        <v>25</v>
      </c>
      <c r="C47" s="319"/>
      <c r="D47" s="319"/>
      <c r="E47" s="319"/>
      <c r="F47" s="319"/>
      <c r="G47" s="319"/>
      <c r="H47" s="319"/>
      <c r="I47" s="319"/>
      <c r="J47" s="319"/>
      <c r="K47" s="303"/>
      <c r="L47" s="303"/>
      <c r="M47" s="359">
        <v>42962</v>
      </c>
      <c r="N47" s="264"/>
      <c r="O47" s="6"/>
    </row>
    <row r="48" spans="1:15" ht="15.6" x14ac:dyDescent="0.3">
      <c r="A48" s="307"/>
      <c r="B48" s="258" t="s">
        <v>26</v>
      </c>
      <c r="C48" s="258"/>
      <c r="D48" s="258"/>
      <c r="E48" s="258"/>
      <c r="F48" s="258"/>
      <c r="G48" s="258"/>
      <c r="H48" s="258"/>
      <c r="I48" s="258"/>
      <c r="J48" s="258">
        <f>M48-K48+1</f>
        <v>89</v>
      </c>
      <c r="K48" s="360">
        <v>42781</v>
      </c>
      <c r="L48" s="361"/>
      <c r="M48" s="360">
        <v>42869</v>
      </c>
      <c r="N48" s="264"/>
      <c r="O48" s="6"/>
    </row>
    <row r="49" spans="1:15" ht="15.6" x14ac:dyDescent="0.3">
      <c r="A49" s="307"/>
      <c r="B49" s="258" t="s">
        <v>27</v>
      </c>
      <c r="C49" s="258"/>
      <c r="D49" s="258"/>
      <c r="E49" s="258"/>
      <c r="F49" s="258"/>
      <c r="G49" s="258"/>
      <c r="H49" s="258"/>
      <c r="I49" s="258"/>
      <c r="J49" s="258">
        <f>M49-K49+1</f>
        <v>92</v>
      </c>
      <c r="K49" s="360">
        <v>42870</v>
      </c>
      <c r="L49" s="361"/>
      <c r="M49" s="360">
        <v>42961</v>
      </c>
      <c r="N49" s="264"/>
      <c r="O49" s="6"/>
    </row>
    <row r="50" spans="1:15" ht="15.6" x14ac:dyDescent="0.3">
      <c r="A50" s="307"/>
      <c r="B50" s="258" t="s">
        <v>28</v>
      </c>
      <c r="C50" s="258"/>
      <c r="D50" s="258"/>
      <c r="E50" s="258"/>
      <c r="F50" s="258"/>
      <c r="G50" s="258"/>
      <c r="H50" s="258"/>
      <c r="I50" s="258"/>
      <c r="J50" s="258"/>
      <c r="K50" s="360"/>
      <c r="L50" s="361"/>
      <c r="M50" s="360" t="s">
        <v>141</v>
      </c>
      <c r="N50" s="264"/>
      <c r="O50" s="6"/>
    </row>
    <row r="51" spans="1:15" ht="15.6" x14ac:dyDescent="0.3">
      <c r="A51" s="307"/>
      <c r="B51" s="258" t="s">
        <v>29</v>
      </c>
      <c r="C51" s="258"/>
      <c r="D51" s="258"/>
      <c r="E51" s="258"/>
      <c r="F51" s="258"/>
      <c r="G51" s="258"/>
      <c r="H51" s="258"/>
      <c r="I51" s="258"/>
      <c r="J51" s="258"/>
      <c r="K51" s="360"/>
      <c r="L51" s="361"/>
      <c r="M51" s="360">
        <v>42948</v>
      </c>
      <c r="N51" s="264"/>
      <c r="O51" s="6"/>
    </row>
    <row r="52" spans="1:15" ht="15.6" x14ac:dyDescent="0.3">
      <c r="A52" s="165"/>
      <c r="B52" s="271"/>
      <c r="C52" s="271"/>
      <c r="D52" s="271"/>
      <c r="E52" s="271"/>
      <c r="F52" s="271"/>
      <c r="G52" s="271"/>
      <c r="H52" s="271"/>
      <c r="I52" s="271"/>
      <c r="J52" s="271"/>
      <c r="K52" s="335"/>
      <c r="L52" s="336"/>
      <c r="M52" s="335"/>
      <c r="N52" s="271"/>
      <c r="O52" s="6"/>
    </row>
    <row r="53" spans="1:15" ht="15.6" x14ac:dyDescent="0.3">
      <c r="A53" s="165"/>
      <c r="B53" s="167"/>
      <c r="C53" s="167"/>
      <c r="D53" s="167"/>
      <c r="E53" s="167"/>
      <c r="F53" s="167"/>
      <c r="G53" s="167"/>
      <c r="H53" s="167"/>
      <c r="I53" s="167"/>
      <c r="J53" s="167"/>
      <c r="K53" s="179"/>
      <c r="L53" s="180"/>
      <c r="M53" s="179"/>
      <c r="N53" s="167"/>
      <c r="O53" s="6"/>
    </row>
    <row r="54" spans="1:15" ht="18" thickBot="1" x14ac:dyDescent="0.35">
      <c r="A54" s="181"/>
      <c r="B54" s="219" t="s">
        <v>285</v>
      </c>
      <c r="C54" s="182"/>
      <c r="D54" s="182"/>
      <c r="E54" s="182"/>
      <c r="F54" s="182"/>
      <c r="G54" s="182"/>
      <c r="H54" s="182"/>
      <c r="I54" s="182"/>
      <c r="J54" s="182"/>
      <c r="K54" s="182"/>
      <c r="L54" s="182"/>
      <c r="M54" s="183"/>
      <c r="N54" s="184"/>
      <c r="O54" s="6"/>
    </row>
    <row r="55" spans="1:15" ht="15.6" x14ac:dyDescent="0.3">
      <c r="A55" s="238"/>
      <c r="B55" s="366" t="s">
        <v>30</v>
      </c>
      <c r="C55" s="239"/>
      <c r="D55" s="239"/>
      <c r="E55" s="242"/>
      <c r="F55" s="242"/>
      <c r="G55" s="242"/>
      <c r="H55" s="242"/>
      <c r="I55" s="242"/>
      <c r="J55" s="242"/>
      <c r="K55" s="242"/>
      <c r="L55" s="242"/>
      <c r="M55" s="367"/>
      <c r="N55" s="242"/>
      <c r="O55" s="6"/>
    </row>
    <row r="56" spans="1:15" ht="15.6" x14ac:dyDescent="0.3">
      <c r="A56" s="165"/>
      <c r="B56" s="175"/>
      <c r="C56" s="175"/>
      <c r="D56" s="175"/>
      <c r="E56" s="167"/>
      <c r="F56" s="167"/>
      <c r="G56" s="167"/>
      <c r="H56" s="167"/>
      <c r="I56" s="167"/>
      <c r="J56" s="167"/>
      <c r="K56" s="167"/>
      <c r="L56" s="167"/>
      <c r="M56" s="186"/>
      <c r="N56" s="167"/>
      <c r="O56" s="6"/>
    </row>
    <row r="57" spans="1:15" ht="46.8" x14ac:dyDescent="0.3">
      <c r="A57" s="165"/>
      <c r="B57" s="187" t="s">
        <v>31</v>
      </c>
      <c r="C57" s="188" t="s">
        <v>119</v>
      </c>
      <c r="D57" s="188"/>
      <c r="E57" s="188" t="s">
        <v>122</v>
      </c>
      <c r="F57" s="188"/>
      <c r="G57" s="188" t="s">
        <v>123</v>
      </c>
      <c r="H57" s="188"/>
      <c r="I57" s="188" t="s">
        <v>126</v>
      </c>
      <c r="J57" s="188"/>
      <c r="K57" s="188" t="s">
        <v>132</v>
      </c>
      <c r="L57" s="188"/>
      <c r="M57" s="189" t="s">
        <v>142</v>
      </c>
      <c r="N57" s="190"/>
      <c r="O57" s="6"/>
    </row>
    <row r="58" spans="1:15" ht="15.6" x14ac:dyDescent="0.3">
      <c r="A58" s="307"/>
      <c r="B58" s="258" t="s">
        <v>32</v>
      </c>
      <c r="C58" s="256">
        <f>240614-323</f>
        <v>240291</v>
      </c>
      <c r="D58" s="256"/>
      <c r="E58" s="260">
        <v>46335</v>
      </c>
      <c r="F58" s="256"/>
      <c r="G58" s="256">
        <v>2605</v>
      </c>
      <c r="H58" s="256"/>
      <c r="I58" s="256">
        <v>0</v>
      </c>
      <c r="J58" s="256"/>
      <c r="K58" s="256">
        <v>0</v>
      </c>
      <c r="L58" s="256"/>
      <c r="M58" s="260">
        <f>E58-G58+I58-K58</f>
        <v>43730</v>
      </c>
      <c r="N58" s="311"/>
      <c r="O58" s="6"/>
    </row>
    <row r="59" spans="1:15" ht="15.6" x14ac:dyDescent="0.3">
      <c r="A59" s="307"/>
      <c r="B59" s="258" t="s">
        <v>33</v>
      </c>
      <c r="C59" s="256">
        <f>748-206</f>
        <v>542</v>
      </c>
      <c r="D59" s="256"/>
      <c r="E59" s="260">
        <v>0</v>
      </c>
      <c r="F59" s="256"/>
      <c r="G59" s="256">
        <v>0</v>
      </c>
      <c r="H59" s="256"/>
      <c r="I59" s="256">
        <v>0</v>
      </c>
      <c r="J59" s="256"/>
      <c r="K59" s="256">
        <v>0</v>
      </c>
      <c r="L59" s="256"/>
      <c r="M59" s="260">
        <f>E59-G59+I59-K59</f>
        <v>0</v>
      </c>
      <c r="N59" s="311"/>
      <c r="O59" s="6"/>
    </row>
    <row r="60" spans="1:15" ht="15.6" x14ac:dyDescent="0.3">
      <c r="A60" s="307"/>
      <c r="B60" s="258"/>
      <c r="C60" s="256"/>
      <c r="D60" s="256"/>
      <c r="E60" s="260"/>
      <c r="F60" s="256"/>
      <c r="G60" s="256">
        <v>0</v>
      </c>
      <c r="H60" s="256"/>
      <c r="I60" s="256">
        <v>0</v>
      </c>
      <c r="J60" s="256"/>
      <c r="K60" s="256">
        <v>0</v>
      </c>
      <c r="L60" s="256"/>
      <c r="M60" s="260">
        <f>E60-G60+I60-K60</f>
        <v>0</v>
      </c>
      <c r="N60" s="311"/>
      <c r="O60" s="6"/>
    </row>
    <row r="61" spans="1:15" ht="15.6" x14ac:dyDescent="0.3">
      <c r="A61" s="307"/>
      <c r="B61" s="258"/>
      <c r="C61" s="256"/>
      <c r="D61" s="256"/>
      <c r="E61" s="260"/>
      <c r="F61" s="256"/>
      <c r="G61" s="256"/>
      <c r="H61" s="256"/>
      <c r="I61" s="256"/>
      <c r="J61" s="256"/>
      <c r="K61" s="256"/>
      <c r="L61" s="256"/>
      <c r="M61" s="260"/>
      <c r="N61" s="311"/>
      <c r="O61" s="6"/>
    </row>
    <row r="62" spans="1:15" ht="15.6" x14ac:dyDescent="0.3">
      <c r="A62" s="307"/>
      <c r="B62" s="258" t="s">
        <v>34</v>
      </c>
      <c r="C62" s="256">
        <f>SUM(C58:C61)</f>
        <v>240833</v>
      </c>
      <c r="D62" s="256"/>
      <c r="E62" s="256">
        <f>E58+E59+E60</f>
        <v>46335</v>
      </c>
      <c r="F62" s="256"/>
      <c r="G62" s="256">
        <f>SUM(G58:G61)</f>
        <v>2605</v>
      </c>
      <c r="H62" s="256"/>
      <c r="I62" s="256">
        <f>SUM(I58:I61)</f>
        <v>0</v>
      </c>
      <c r="J62" s="256"/>
      <c r="K62" s="256">
        <f>SUM(K58:K61)</f>
        <v>0</v>
      </c>
      <c r="L62" s="256"/>
      <c r="M62" s="256">
        <f>SUM(M58:M61)</f>
        <v>43730</v>
      </c>
      <c r="N62" s="311"/>
      <c r="O62" s="6"/>
    </row>
    <row r="63" spans="1:15" ht="15.6" x14ac:dyDescent="0.3">
      <c r="A63" s="165"/>
      <c r="B63" s="271"/>
      <c r="C63" s="334"/>
      <c r="D63" s="334"/>
      <c r="E63" s="334"/>
      <c r="F63" s="334"/>
      <c r="G63" s="334"/>
      <c r="H63" s="334"/>
      <c r="I63" s="334"/>
      <c r="J63" s="334"/>
      <c r="K63" s="334"/>
      <c r="L63" s="334"/>
      <c r="M63" s="267"/>
      <c r="N63" s="271"/>
      <c r="O63" s="6"/>
    </row>
    <row r="64" spans="1:15" ht="15.6" x14ac:dyDescent="0.3">
      <c r="A64" s="165"/>
      <c r="B64" s="169" t="s">
        <v>35</v>
      </c>
      <c r="C64" s="191"/>
      <c r="D64" s="191"/>
      <c r="E64" s="191"/>
      <c r="F64" s="191"/>
      <c r="G64" s="191"/>
      <c r="H64" s="191"/>
      <c r="I64" s="191"/>
      <c r="J64" s="191"/>
      <c r="K64" s="191"/>
      <c r="L64" s="191"/>
      <c r="M64" s="192"/>
      <c r="N64" s="167"/>
      <c r="O64" s="6"/>
    </row>
    <row r="65" spans="1:16" ht="15.6" x14ac:dyDescent="0.3">
      <c r="A65" s="165"/>
      <c r="B65" s="167"/>
      <c r="C65" s="191"/>
      <c r="D65" s="191"/>
      <c r="E65" s="191"/>
      <c r="F65" s="191"/>
      <c r="G65" s="191"/>
      <c r="H65" s="191"/>
      <c r="I65" s="191"/>
      <c r="J65" s="191"/>
      <c r="K65" s="191"/>
      <c r="L65" s="191"/>
      <c r="M65" s="192"/>
      <c r="N65" s="167"/>
      <c r="O65" s="6"/>
    </row>
    <row r="66" spans="1:16" ht="15.6" x14ac:dyDescent="0.3">
      <c r="A66" s="307"/>
      <c r="B66" s="258" t="s">
        <v>32</v>
      </c>
      <c r="C66" s="256"/>
      <c r="D66" s="256"/>
      <c r="E66" s="256"/>
      <c r="F66" s="256"/>
      <c r="G66" s="256"/>
      <c r="H66" s="256"/>
      <c r="I66" s="256"/>
      <c r="J66" s="256"/>
      <c r="K66" s="256"/>
      <c r="L66" s="256"/>
      <c r="M66" s="256"/>
      <c r="N66" s="264"/>
      <c r="O66" s="6"/>
    </row>
    <row r="67" spans="1:16" ht="15.6" x14ac:dyDescent="0.3">
      <c r="A67" s="307"/>
      <c r="B67" s="258" t="s">
        <v>33</v>
      </c>
      <c r="C67" s="256"/>
      <c r="D67" s="256"/>
      <c r="E67" s="256"/>
      <c r="F67" s="256"/>
      <c r="G67" s="256"/>
      <c r="H67" s="256"/>
      <c r="I67" s="256"/>
      <c r="J67" s="256"/>
      <c r="K67" s="256"/>
      <c r="L67" s="256"/>
      <c r="M67" s="256"/>
      <c r="N67" s="264"/>
      <c r="O67" s="6"/>
    </row>
    <row r="68" spans="1:16" ht="15.6" x14ac:dyDescent="0.3">
      <c r="A68" s="307"/>
      <c r="B68" s="258"/>
      <c r="C68" s="256"/>
      <c r="D68" s="256"/>
      <c r="E68" s="256"/>
      <c r="F68" s="256"/>
      <c r="G68" s="256"/>
      <c r="H68" s="256"/>
      <c r="I68" s="256"/>
      <c r="J68" s="256"/>
      <c r="K68" s="256"/>
      <c r="L68" s="256"/>
      <c r="M68" s="256"/>
      <c r="N68" s="264"/>
      <c r="O68" s="6"/>
    </row>
    <row r="69" spans="1:16" ht="15.6" x14ac:dyDescent="0.3">
      <c r="A69" s="307"/>
      <c r="B69" s="258" t="s">
        <v>34</v>
      </c>
      <c r="C69" s="256"/>
      <c r="D69" s="256"/>
      <c r="E69" s="256"/>
      <c r="F69" s="256"/>
      <c r="G69" s="256"/>
      <c r="H69" s="256"/>
      <c r="I69" s="256"/>
      <c r="J69" s="256"/>
      <c r="K69" s="256"/>
      <c r="L69" s="256"/>
      <c r="M69" s="256"/>
      <c r="N69" s="264"/>
      <c r="O69" s="6"/>
    </row>
    <row r="70" spans="1:16" ht="15.6" x14ac:dyDescent="0.3">
      <c r="A70" s="307"/>
      <c r="B70" s="258"/>
      <c r="C70" s="256"/>
      <c r="D70" s="256"/>
      <c r="E70" s="256"/>
      <c r="F70" s="256"/>
      <c r="G70" s="256"/>
      <c r="H70" s="256"/>
      <c r="I70" s="256"/>
      <c r="J70" s="256"/>
      <c r="K70" s="256"/>
      <c r="L70" s="256"/>
      <c r="M70" s="256"/>
      <c r="N70" s="264"/>
      <c r="O70" s="6"/>
    </row>
    <row r="71" spans="1:16" ht="15.6" x14ac:dyDescent="0.3">
      <c r="A71" s="307"/>
      <c r="B71" s="258" t="s">
        <v>36</v>
      </c>
      <c r="C71" s="256">
        <v>0</v>
      </c>
      <c r="D71" s="256"/>
      <c r="E71" s="256">
        <v>0</v>
      </c>
      <c r="F71" s="256"/>
      <c r="G71" s="256"/>
      <c r="H71" s="256"/>
      <c r="I71" s="256"/>
      <c r="J71" s="256"/>
      <c r="K71" s="256"/>
      <c r="L71" s="256"/>
      <c r="M71" s="256">
        <v>0</v>
      </c>
      <c r="N71" s="264"/>
      <c r="O71" s="6"/>
    </row>
    <row r="72" spans="1:16" ht="15.6" x14ac:dyDescent="0.3">
      <c r="A72" s="307"/>
      <c r="B72" s="258" t="s">
        <v>147</v>
      </c>
      <c r="C72" s="256">
        <f>59167</f>
        <v>59167</v>
      </c>
      <c r="D72" s="256"/>
      <c r="E72" s="256">
        <v>0</v>
      </c>
      <c r="F72" s="256"/>
      <c r="G72" s="256"/>
      <c r="H72" s="256"/>
      <c r="I72" s="256"/>
      <c r="J72" s="256"/>
      <c r="K72" s="256"/>
      <c r="L72" s="256"/>
      <c r="M72" s="256">
        <f>+E72+I72</f>
        <v>0</v>
      </c>
      <c r="N72" s="264"/>
      <c r="O72" s="6"/>
    </row>
    <row r="73" spans="1:16" ht="15.6" x14ac:dyDescent="0.3">
      <c r="A73" s="307"/>
      <c r="B73" s="258" t="s">
        <v>171</v>
      </c>
      <c r="C73" s="256">
        <v>0</v>
      </c>
      <c r="D73" s="256"/>
      <c r="E73" s="256">
        <v>0</v>
      </c>
      <c r="F73" s="256"/>
      <c r="G73" s="256"/>
      <c r="H73" s="256"/>
      <c r="I73" s="256"/>
      <c r="J73" s="256"/>
      <c r="K73" s="256"/>
      <c r="L73" s="256"/>
      <c r="M73" s="256">
        <v>0</v>
      </c>
      <c r="N73" s="264"/>
      <c r="O73" s="6"/>
      <c r="P73" s="117"/>
    </row>
    <row r="74" spans="1:16" ht="15.6" x14ac:dyDescent="0.3">
      <c r="A74" s="307"/>
      <c r="B74" s="258" t="s">
        <v>38</v>
      </c>
      <c r="C74" s="256">
        <v>0</v>
      </c>
      <c r="D74" s="256"/>
      <c r="E74" s="256">
        <v>0</v>
      </c>
      <c r="F74" s="256"/>
      <c r="G74" s="256"/>
      <c r="H74" s="256"/>
      <c r="I74" s="256"/>
      <c r="J74" s="256"/>
      <c r="K74" s="256"/>
      <c r="L74" s="256"/>
      <c r="M74" s="256">
        <v>0</v>
      </c>
      <c r="N74" s="264"/>
      <c r="O74" s="6"/>
      <c r="P74" s="117"/>
    </row>
    <row r="75" spans="1:16" ht="15.6" x14ac:dyDescent="0.3">
      <c r="A75" s="307"/>
      <c r="B75" s="258" t="s">
        <v>39</v>
      </c>
      <c r="C75" s="256">
        <f>SUM(C62:C74)</f>
        <v>300000</v>
      </c>
      <c r="D75" s="256"/>
      <c r="E75" s="256">
        <f>SUM(E62:E74)</f>
        <v>46335</v>
      </c>
      <c r="F75" s="256"/>
      <c r="G75" s="256"/>
      <c r="H75" s="256"/>
      <c r="I75" s="256"/>
      <c r="J75" s="256"/>
      <c r="K75" s="256"/>
      <c r="L75" s="256"/>
      <c r="M75" s="256">
        <f>SUM(M62:M74)</f>
        <v>43730</v>
      </c>
      <c r="N75" s="264"/>
      <c r="O75" s="6"/>
    </row>
    <row r="76" spans="1:16" ht="15.6" x14ac:dyDescent="0.3">
      <c r="A76" s="165"/>
      <c r="B76" s="251"/>
      <c r="C76" s="252"/>
      <c r="D76" s="252"/>
      <c r="E76" s="252"/>
      <c r="F76" s="252"/>
      <c r="G76" s="252"/>
      <c r="H76" s="252"/>
      <c r="I76" s="252"/>
      <c r="J76" s="252"/>
      <c r="K76" s="252"/>
      <c r="L76" s="252"/>
      <c r="M76" s="252"/>
      <c r="N76" s="251"/>
      <c r="O76" s="6"/>
    </row>
    <row r="77" spans="1:16" ht="15.6" x14ac:dyDescent="0.3">
      <c r="A77" s="165"/>
      <c r="B77" s="209"/>
      <c r="C77" s="209"/>
      <c r="D77" s="209"/>
      <c r="E77" s="209"/>
      <c r="F77" s="209"/>
      <c r="G77" s="209"/>
      <c r="H77" s="209"/>
      <c r="I77" s="209"/>
      <c r="J77" s="209"/>
      <c r="K77" s="209"/>
      <c r="L77" s="209"/>
      <c r="M77" s="209"/>
      <c r="N77" s="209"/>
      <c r="O77" s="6"/>
    </row>
    <row r="78" spans="1:16" ht="15.6" x14ac:dyDescent="0.3">
      <c r="A78" s="165"/>
      <c r="B78" s="215" t="s">
        <v>40</v>
      </c>
      <c r="C78" s="222" t="s">
        <v>120</v>
      </c>
      <c r="D78" s="223">
        <f>+K171</f>
        <v>42947</v>
      </c>
      <c r="E78" s="208"/>
      <c r="F78" s="208"/>
      <c r="G78" s="208"/>
      <c r="H78" s="208"/>
      <c r="I78" s="208"/>
      <c r="J78" s="211"/>
      <c r="K78" s="211" t="s">
        <v>133</v>
      </c>
      <c r="L78" s="211"/>
      <c r="M78" s="211" t="s">
        <v>143</v>
      </c>
      <c r="N78" s="209"/>
      <c r="O78" s="6"/>
    </row>
    <row r="79" spans="1:16" ht="15.6" x14ac:dyDescent="0.3">
      <c r="A79" s="307"/>
      <c r="B79" s="258" t="s">
        <v>41</v>
      </c>
      <c r="C79" s="258"/>
      <c r="D79" s="258"/>
      <c r="E79" s="258"/>
      <c r="F79" s="258"/>
      <c r="G79" s="258"/>
      <c r="H79" s="258"/>
      <c r="I79" s="258"/>
      <c r="J79" s="258"/>
      <c r="K79" s="256">
        <f>+'Oct 2008'!K112</f>
        <v>0</v>
      </c>
      <c r="L79" s="258"/>
      <c r="M79" s="260">
        <v>0</v>
      </c>
      <c r="N79" s="264"/>
      <c r="O79" s="6"/>
    </row>
    <row r="80" spans="1:16" ht="15.6" x14ac:dyDescent="0.3">
      <c r="A80" s="307"/>
      <c r="B80" s="258" t="s">
        <v>42</v>
      </c>
      <c r="C80" s="290" t="s">
        <v>207</v>
      </c>
      <c r="D80" s="325" t="s">
        <v>207</v>
      </c>
      <c r="E80" s="326"/>
      <c r="F80" s="258"/>
      <c r="G80" s="258"/>
      <c r="H80" s="258"/>
      <c r="I80" s="258"/>
      <c r="J80" s="258"/>
      <c r="K80" s="256">
        <f>2605+178</f>
        <v>2783</v>
      </c>
      <c r="L80" s="258"/>
      <c r="M80" s="260"/>
      <c r="N80" s="264"/>
      <c r="O80" s="6"/>
    </row>
    <row r="81" spans="1:16" ht="15.6" x14ac:dyDescent="0.3">
      <c r="A81" s="307"/>
      <c r="B81" s="258" t="s">
        <v>204</v>
      </c>
      <c r="C81" s="290"/>
      <c r="D81" s="325"/>
      <c r="E81" s="326"/>
      <c r="F81" s="258"/>
      <c r="G81" s="258"/>
      <c r="H81" s="258"/>
      <c r="I81" s="258"/>
      <c r="J81" s="258"/>
      <c r="K81" s="256"/>
      <c r="L81" s="258"/>
      <c r="M81" s="260">
        <f>2777+3-1738</f>
        <v>1042</v>
      </c>
      <c r="N81" s="264"/>
      <c r="O81" s="6"/>
    </row>
    <row r="82" spans="1:16" ht="15.6" x14ac:dyDescent="0.3">
      <c r="A82" s="307"/>
      <c r="B82" s="258" t="s">
        <v>205</v>
      </c>
      <c r="C82" s="290"/>
      <c r="D82" s="325"/>
      <c r="E82" s="326"/>
      <c r="F82" s="258"/>
      <c r="G82" s="258"/>
      <c r="H82" s="258"/>
      <c r="I82" s="258"/>
      <c r="J82" s="258"/>
      <c r="K82" s="256"/>
      <c r="L82" s="258"/>
      <c r="M82" s="260">
        <v>38</v>
      </c>
      <c r="N82" s="264"/>
      <c r="O82" s="6"/>
    </row>
    <row r="83" spans="1:16" ht="15.6" x14ac:dyDescent="0.3">
      <c r="A83" s="307"/>
      <c r="B83" s="258" t="s">
        <v>206</v>
      </c>
      <c r="C83" s="290"/>
      <c r="D83" s="325"/>
      <c r="E83" s="326"/>
      <c r="F83" s="258"/>
      <c r="G83" s="258"/>
      <c r="H83" s="258"/>
      <c r="I83" s="258"/>
      <c r="J83" s="258"/>
      <c r="K83" s="256"/>
      <c r="L83" s="258"/>
      <c r="M83" s="260">
        <v>11</v>
      </c>
      <c r="N83" s="264"/>
      <c r="O83" s="6"/>
      <c r="P83" s="117"/>
    </row>
    <row r="84" spans="1:16" ht="15.6" x14ac:dyDescent="0.3">
      <c r="A84" s="307"/>
      <c r="B84" s="258" t="s">
        <v>44</v>
      </c>
      <c r="C84" s="258"/>
      <c r="D84" s="258"/>
      <c r="E84" s="258"/>
      <c r="F84" s="258"/>
      <c r="G84" s="258"/>
      <c r="H84" s="258"/>
      <c r="I84" s="258"/>
      <c r="J84" s="258"/>
      <c r="K84" s="256"/>
      <c r="L84" s="258"/>
      <c r="M84" s="260">
        <v>0</v>
      </c>
      <c r="N84" s="264"/>
      <c r="O84" s="6"/>
    </row>
    <row r="85" spans="1:16" ht="15.6" x14ac:dyDescent="0.3">
      <c r="A85" s="307"/>
      <c r="B85" s="258" t="s">
        <v>45</v>
      </c>
      <c r="C85" s="258"/>
      <c r="D85" s="258"/>
      <c r="E85" s="258"/>
      <c r="F85" s="258"/>
      <c r="G85" s="258"/>
      <c r="H85" s="258"/>
      <c r="I85" s="258"/>
      <c r="J85" s="258"/>
      <c r="K85" s="256">
        <f>SUM(K79:K84)</f>
        <v>2783</v>
      </c>
      <c r="L85" s="258"/>
      <c r="M85" s="256">
        <f>SUM(M79:M84)</f>
        <v>1091</v>
      </c>
      <c r="N85" s="264"/>
      <c r="O85" s="6"/>
    </row>
    <row r="86" spans="1:16" ht="15.6" x14ac:dyDescent="0.3">
      <c r="A86" s="307"/>
      <c r="B86" s="258" t="s">
        <v>46</v>
      </c>
      <c r="C86" s="258"/>
      <c r="D86" s="258"/>
      <c r="E86" s="258"/>
      <c r="F86" s="258"/>
      <c r="G86" s="258"/>
      <c r="H86" s="258"/>
      <c r="I86" s="258"/>
      <c r="J86" s="258"/>
      <c r="K86" s="256">
        <f>-M86</f>
        <v>0</v>
      </c>
      <c r="L86" s="258"/>
      <c r="M86" s="260">
        <v>0</v>
      </c>
      <c r="N86" s="264"/>
      <c r="O86" s="6"/>
    </row>
    <row r="87" spans="1:16" ht="15.6" x14ac:dyDescent="0.3">
      <c r="A87" s="307"/>
      <c r="B87" s="258" t="s">
        <v>47</v>
      </c>
      <c r="C87" s="258"/>
      <c r="D87" s="258"/>
      <c r="E87" s="258"/>
      <c r="F87" s="258"/>
      <c r="G87" s="258"/>
      <c r="H87" s="258"/>
      <c r="I87" s="258"/>
      <c r="J87" s="258"/>
      <c r="K87" s="256">
        <f>K85+K86</f>
        <v>2783</v>
      </c>
      <c r="L87" s="258"/>
      <c r="M87" s="256">
        <f>M85+M86</f>
        <v>1091</v>
      </c>
      <c r="N87" s="264"/>
      <c r="O87" s="6"/>
      <c r="P87" s="156"/>
    </row>
    <row r="88" spans="1:16" ht="15.6" x14ac:dyDescent="0.3">
      <c r="A88" s="307"/>
      <c r="B88" s="327" t="s">
        <v>48</v>
      </c>
      <c r="C88" s="328"/>
      <c r="D88" s="328"/>
      <c r="E88" s="280"/>
      <c r="F88" s="280"/>
      <c r="G88" s="280"/>
      <c r="H88" s="280"/>
      <c r="I88" s="280"/>
      <c r="J88" s="280"/>
      <c r="K88" s="329"/>
      <c r="L88" s="280"/>
      <c r="M88" s="330"/>
      <c r="N88" s="311"/>
      <c r="O88" s="6"/>
    </row>
    <row r="89" spans="1:16" ht="15.6" x14ac:dyDescent="0.3">
      <c r="A89" s="255">
        <v>1</v>
      </c>
      <c r="B89" s="258" t="s">
        <v>49</v>
      </c>
      <c r="C89" s="258"/>
      <c r="D89" s="258"/>
      <c r="E89" s="258"/>
      <c r="F89" s="258"/>
      <c r="G89" s="258"/>
      <c r="H89" s="258"/>
      <c r="I89" s="258"/>
      <c r="J89" s="258"/>
      <c r="K89" s="258"/>
      <c r="L89" s="258"/>
      <c r="M89" s="260">
        <v>0</v>
      </c>
      <c r="N89" s="311"/>
      <c r="O89" s="6"/>
      <c r="P89" s="117"/>
    </row>
    <row r="90" spans="1:16" ht="15.6" x14ac:dyDescent="0.3">
      <c r="A90" s="255">
        <v>2</v>
      </c>
      <c r="B90" s="258" t="s">
        <v>50</v>
      </c>
      <c r="C90" s="258"/>
      <c r="D90" s="258"/>
      <c r="E90" s="258"/>
      <c r="F90" s="258"/>
      <c r="G90" s="258"/>
      <c r="H90" s="258"/>
      <c r="I90" s="258"/>
      <c r="J90" s="258"/>
      <c r="K90" s="258"/>
      <c r="L90" s="258"/>
      <c r="M90" s="260">
        <v>-2</v>
      </c>
      <c r="N90" s="311"/>
      <c r="O90" s="6"/>
      <c r="P90" s="156"/>
    </row>
    <row r="91" spans="1:16" ht="15.6" x14ac:dyDescent="0.3">
      <c r="A91" s="255">
        <v>3</v>
      </c>
      <c r="B91" s="258" t="s">
        <v>194</v>
      </c>
      <c r="C91" s="258"/>
      <c r="D91" s="258"/>
      <c r="E91" s="258"/>
      <c r="F91" s="258"/>
      <c r="G91" s="258"/>
      <c r="H91" s="258"/>
      <c r="I91" s="258"/>
      <c r="J91" s="258"/>
      <c r="K91" s="258"/>
      <c r="L91" s="258"/>
      <c r="M91" s="260">
        <f>-18-11-1</f>
        <v>-30</v>
      </c>
      <c r="N91" s="311"/>
      <c r="O91" s="6"/>
    </row>
    <row r="92" spans="1:16" ht="15.6" x14ac:dyDescent="0.3">
      <c r="A92" s="331" t="s">
        <v>184</v>
      </c>
      <c r="B92" s="258" t="s">
        <v>146</v>
      </c>
      <c r="C92" s="258"/>
      <c r="D92" s="258"/>
      <c r="E92" s="258"/>
      <c r="F92" s="258"/>
      <c r="G92" s="258"/>
      <c r="H92" s="258"/>
      <c r="I92" s="258"/>
      <c r="J92" s="258"/>
      <c r="K92" s="258"/>
      <c r="L92" s="258"/>
      <c r="M92" s="260">
        <v>0</v>
      </c>
      <c r="N92" s="311"/>
      <c r="O92" s="6"/>
    </row>
    <row r="93" spans="1:16" ht="15.6" x14ac:dyDescent="0.3">
      <c r="A93" s="331" t="s">
        <v>192</v>
      </c>
      <c r="B93" s="258" t="s">
        <v>51</v>
      </c>
      <c r="C93" s="258"/>
      <c r="D93" s="258"/>
      <c r="E93" s="258"/>
      <c r="F93" s="258"/>
      <c r="G93" s="258"/>
      <c r="H93" s="258"/>
      <c r="I93" s="258"/>
      <c r="J93" s="258"/>
      <c r="K93" s="258"/>
      <c r="L93" s="258"/>
      <c r="M93" s="260">
        <v>-45</v>
      </c>
      <c r="N93" s="311"/>
      <c r="O93" s="6"/>
    </row>
    <row r="94" spans="1:16" ht="15.6" x14ac:dyDescent="0.3">
      <c r="A94" s="255">
        <v>5</v>
      </c>
      <c r="B94" s="258" t="s">
        <v>52</v>
      </c>
      <c r="C94" s="258"/>
      <c r="D94" s="258"/>
      <c r="E94" s="258"/>
      <c r="F94" s="258"/>
      <c r="G94" s="258"/>
      <c r="H94" s="258"/>
      <c r="I94" s="258"/>
      <c r="J94" s="258"/>
      <c r="K94" s="258"/>
      <c r="L94" s="258"/>
      <c r="M94" s="260">
        <v>-59</v>
      </c>
      <c r="N94" s="311"/>
      <c r="O94" s="6"/>
    </row>
    <row r="95" spans="1:16" ht="15.6" x14ac:dyDescent="0.3">
      <c r="A95" s="255">
        <v>6</v>
      </c>
      <c r="B95" s="258" t="s">
        <v>172</v>
      </c>
      <c r="C95" s="258"/>
      <c r="D95" s="258"/>
      <c r="E95" s="258"/>
      <c r="F95" s="258"/>
      <c r="G95" s="258"/>
      <c r="H95" s="258"/>
      <c r="I95" s="258"/>
      <c r="J95" s="258"/>
      <c r="K95" s="258"/>
      <c r="L95" s="258"/>
      <c r="M95" s="260">
        <v>-49</v>
      </c>
      <c r="N95" s="311"/>
      <c r="O95" s="6"/>
    </row>
    <row r="96" spans="1:16" ht="15.6" x14ac:dyDescent="0.3">
      <c r="A96" s="255">
        <v>7</v>
      </c>
      <c r="B96" s="258" t="s">
        <v>53</v>
      </c>
      <c r="C96" s="258"/>
      <c r="D96" s="258"/>
      <c r="E96" s="258"/>
      <c r="F96" s="258"/>
      <c r="G96" s="258"/>
      <c r="H96" s="258"/>
      <c r="I96" s="258"/>
      <c r="J96" s="258"/>
      <c r="K96" s="258"/>
      <c r="L96" s="258"/>
      <c r="M96" s="260">
        <v>-7</v>
      </c>
      <c r="N96" s="311"/>
      <c r="O96" s="6"/>
    </row>
    <row r="97" spans="1:16" ht="15.6" x14ac:dyDescent="0.3">
      <c r="A97" s="255">
        <v>8</v>
      </c>
      <c r="B97" s="258" t="s">
        <v>69</v>
      </c>
      <c r="C97" s="258"/>
      <c r="D97" s="258"/>
      <c r="E97" s="258"/>
      <c r="F97" s="258"/>
      <c r="G97" s="258"/>
      <c r="H97" s="258"/>
      <c r="I97" s="258"/>
      <c r="J97" s="258"/>
      <c r="K97" s="256">
        <f>-M97</f>
        <v>-178</v>
      </c>
      <c r="L97" s="258"/>
      <c r="M97" s="260">
        <v>178</v>
      </c>
      <c r="N97" s="311"/>
      <c r="O97" s="6"/>
    </row>
    <row r="98" spans="1:16" ht="15.6" x14ac:dyDescent="0.3">
      <c r="A98" s="255">
        <v>9</v>
      </c>
      <c r="B98" s="258" t="s">
        <v>193</v>
      </c>
      <c r="C98" s="258"/>
      <c r="D98" s="258"/>
      <c r="E98" s="258"/>
      <c r="F98" s="258"/>
      <c r="G98" s="258"/>
      <c r="H98" s="258"/>
      <c r="I98" s="258"/>
      <c r="J98" s="258"/>
      <c r="K98" s="258"/>
      <c r="L98" s="258"/>
      <c r="M98" s="260">
        <v>0</v>
      </c>
      <c r="N98" s="311"/>
      <c r="O98" s="6"/>
    </row>
    <row r="99" spans="1:16" ht="15.6" x14ac:dyDescent="0.3">
      <c r="A99" s="255">
        <v>10</v>
      </c>
      <c r="B99" s="258" t="s">
        <v>54</v>
      </c>
      <c r="C99" s="258"/>
      <c r="D99" s="258"/>
      <c r="E99" s="258"/>
      <c r="F99" s="258"/>
      <c r="G99" s="258"/>
      <c r="H99" s="258"/>
      <c r="I99" s="258"/>
      <c r="J99" s="258"/>
      <c r="K99" s="258"/>
      <c r="L99" s="258"/>
      <c r="M99" s="260">
        <v>0</v>
      </c>
      <c r="N99" s="311"/>
      <c r="O99" s="6"/>
    </row>
    <row r="100" spans="1:16" ht="15.6" x14ac:dyDescent="0.3">
      <c r="A100" s="255">
        <v>11</v>
      </c>
      <c r="B100" s="258" t="s">
        <v>55</v>
      </c>
      <c r="C100" s="258"/>
      <c r="D100" s="258"/>
      <c r="E100" s="258"/>
      <c r="F100" s="258"/>
      <c r="G100" s="258"/>
      <c r="H100" s="258"/>
      <c r="I100" s="258"/>
      <c r="J100" s="258"/>
      <c r="K100" s="258"/>
      <c r="L100" s="258"/>
      <c r="M100" s="260">
        <v>0</v>
      </c>
      <c r="N100" s="311"/>
      <c r="O100" s="6"/>
    </row>
    <row r="101" spans="1:16" ht="15.6" x14ac:dyDescent="0.3">
      <c r="A101" s="255">
        <v>12</v>
      </c>
      <c r="B101" s="258" t="s">
        <v>173</v>
      </c>
      <c r="C101" s="258"/>
      <c r="D101" s="258"/>
      <c r="E101" s="258"/>
      <c r="F101" s="258"/>
      <c r="G101" s="258"/>
      <c r="H101" s="258"/>
      <c r="I101" s="258"/>
      <c r="J101" s="258"/>
      <c r="K101" s="258"/>
      <c r="L101" s="258"/>
      <c r="M101" s="260">
        <v>-17</v>
      </c>
      <c r="N101" s="311"/>
      <c r="O101" s="6"/>
    </row>
    <row r="102" spans="1:16" ht="15.6" x14ac:dyDescent="0.3">
      <c r="A102" s="255">
        <v>13</v>
      </c>
      <c r="B102" s="258" t="s">
        <v>195</v>
      </c>
      <c r="C102" s="258"/>
      <c r="D102" s="258"/>
      <c r="E102" s="258"/>
      <c r="F102" s="258"/>
      <c r="G102" s="258"/>
      <c r="H102" s="258"/>
      <c r="I102" s="258"/>
      <c r="J102" s="258"/>
      <c r="K102" s="258"/>
      <c r="L102" s="258"/>
      <c r="M102" s="260">
        <f>-M87-SUM(M89:M101)</f>
        <v>-1060</v>
      </c>
      <c r="N102" s="311"/>
      <c r="O102" s="6"/>
    </row>
    <row r="103" spans="1:16" ht="15.6" x14ac:dyDescent="0.3">
      <c r="A103" s="307"/>
      <c r="B103" s="327" t="s">
        <v>56</v>
      </c>
      <c r="C103" s="328"/>
      <c r="D103" s="328"/>
      <c r="E103" s="280"/>
      <c r="F103" s="280"/>
      <c r="G103" s="280"/>
      <c r="H103" s="280"/>
      <c r="I103" s="280"/>
      <c r="J103" s="280"/>
      <c r="K103" s="280"/>
      <c r="L103" s="280"/>
      <c r="M103" s="332"/>
      <c r="N103" s="311"/>
      <c r="O103" s="6"/>
    </row>
    <row r="104" spans="1:16" ht="15.6" x14ac:dyDescent="0.3">
      <c r="A104" s="307"/>
      <c r="B104" s="258" t="s">
        <v>57</v>
      </c>
      <c r="C104" s="333"/>
      <c r="D104" s="333"/>
      <c r="E104" s="258"/>
      <c r="F104" s="258"/>
      <c r="G104" s="258"/>
      <c r="H104" s="258"/>
      <c r="I104" s="258"/>
      <c r="J104" s="258"/>
      <c r="K104" s="256">
        <f>-K155</f>
        <v>0</v>
      </c>
      <c r="L104" s="256"/>
      <c r="M104" s="260"/>
      <c r="N104" s="311"/>
      <c r="O104" s="6"/>
    </row>
    <row r="105" spans="1:16" ht="15.6" x14ac:dyDescent="0.3">
      <c r="A105" s="307"/>
      <c r="B105" s="258" t="s">
        <v>58</v>
      </c>
      <c r="C105" s="258"/>
      <c r="D105" s="258"/>
      <c r="E105" s="258"/>
      <c r="F105" s="258"/>
      <c r="G105" s="258"/>
      <c r="H105" s="258"/>
      <c r="I105" s="258"/>
      <c r="J105" s="258"/>
      <c r="K105" s="256">
        <f>-I155</f>
        <v>0</v>
      </c>
      <c r="L105" s="256"/>
      <c r="M105" s="260"/>
      <c r="N105" s="311"/>
      <c r="O105" s="6"/>
      <c r="P105" s="117"/>
    </row>
    <row r="106" spans="1:16" ht="15.6" x14ac:dyDescent="0.3">
      <c r="A106" s="307"/>
      <c r="B106" s="258" t="s">
        <v>187</v>
      </c>
      <c r="C106" s="258"/>
      <c r="D106" s="258"/>
      <c r="E106" s="258"/>
      <c r="F106" s="258"/>
      <c r="G106" s="258"/>
      <c r="H106" s="258"/>
      <c r="I106" s="258"/>
      <c r="J106" s="258"/>
      <c r="K106" s="256">
        <v>0</v>
      </c>
      <c r="L106" s="256"/>
      <c r="M106" s="260"/>
      <c r="N106" s="311"/>
      <c r="O106" s="6"/>
    </row>
    <row r="107" spans="1:16" ht="15.6" x14ac:dyDescent="0.3">
      <c r="A107" s="307"/>
      <c r="B107" s="258" t="s">
        <v>185</v>
      </c>
      <c r="C107" s="258"/>
      <c r="D107" s="258"/>
      <c r="E107" s="258"/>
      <c r="F107" s="258"/>
      <c r="G107" s="258"/>
      <c r="H107" s="258"/>
      <c r="I107" s="258"/>
      <c r="J107" s="258"/>
      <c r="K107" s="256">
        <v>-2605</v>
      </c>
      <c r="L107" s="256"/>
      <c r="M107" s="260"/>
      <c r="N107" s="311"/>
      <c r="O107" s="6"/>
    </row>
    <row r="108" spans="1:16" ht="15.6" x14ac:dyDescent="0.3">
      <c r="A108" s="307"/>
      <c r="B108" s="258" t="s">
        <v>59</v>
      </c>
      <c r="C108" s="258"/>
      <c r="D108" s="258"/>
      <c r="E108" s="258"/>
      <c r="F108" s="258"/>
      <c r="G108" s="258"/>
      <c r="H108" s="258"/>
      <c r="I108" s="258"/>
      <c r="J108" s="258"/>
      <c r="K108" s="256">
        <v>0</v>
      </c>
      <c r="L108" s="256"/>
      <c r="M108" s="260"/>
      <c r="N108" s="311"/>
      <c r="O108" s="6"/>
    </row>
    <row r="109" spans="1:16" ht="15.6" x14ac:dyDescent="0.3">
      <c r="A109" s="307"/>
      <c r="B109" s="258" t="s">
        <v>186</v>
      </c>
      <c r="C109" s="258"/>
      <c r="D109" s="258"/>
      <c r="E109" s="258"/>
      <c r="F109" s="258"/>
      <c r="G109" s="258"/>
      <c r="H109" s="258"/>
      <c r="I109" s="258"/>
      <c r="J109" s="258"/>
      <c r="K109" s="256">
        <v>0</v>
      </c>
      <c r="L109" s="256"/>
      <c r="M109" s="260"/>
      <c r="N109" s="311"/>
      <c r="O109" s="6"/>
    </row>
    <row r="110" spans="1:16" ht="15.6" x14ac:dyDescent="0.3">
      <c r="A110" s="307"/>
      <c r="B110" s="258" t="s">
        <v>60</v>
      </c>
      <c r="C110" s="258"/>
      <c r="D110" s="258"/>
      <c r="E110" s="258"/>
      <c r="F110" s="258"/>
      <c r="G110" s="258"/>
      <c r="H110" s="258"/>
      <c r="I110" s="258"/>
      <c r="J110" s="258"/>
      <c r="K110" s="256">
        <f>+K105+K106+K107+K108+K109</f>
        <v>-2605</v>
      </c>
      <c r="L110" s="256"/>
      <c r="M110" s="256">
        <f>SUM(M88:M109)</f>
        <v>-1091</v>
      </c>
      <c r="N110" s="311"/>
      <c r="O110" s="6"/>
    </row>
    <row r="111" spans="1:16" ht="15.6" x14ac:dyDescent="0.3">
      <c r="A111" s="307"/>
      <c r="B111" s="258" t="s">
        <v>61</v>
      </c>
      <c r="C111" s="258"/>
      <c r="D111" s="258"/>
      <c r="E111" s="258"/>
      <c r="F111" s="258"/>
      <c r="G111" s="258"/>
      <c r="H111" s="258"/>
      <c r="I111" s="258"/>
      <c r="J111" s="258"/>
      <c r="K111" s="256">
        <f>K87+K110+K97</f>
        <v>0</v>
      </c>
      <c r="L111" s="256"/>
      <c r="M111" s="256">
        <f>M87+M110</f>
        <v>0</v>
      </c>
      <c r="N111" s="311"/>
      <c r="O111" s="6"/>
    </row>
    <row r="112" spans="1:16" ht="15.6" x14ac:dyDescent="0.3">
      <c r="A112" s="165"/>
      <c r="B112" s="251"/>
      <c r="C112" s="251"/>
      <c r="D112" s="251"/>
      <c r="E112" s="251"/>
      <c r="F112" s="251"/>
      <c r="G112" s="251"/>
      <c r="H112" s="251"/>
      <c r="I112" s="251"/>
      <c r="J112" s="251"/>
      <c r="K112" s="252"/>
      <c r="L112" s="252"/>
      <c r="M112" s="252"/>
      <c r="N112" s="271"/>
      <c r="O112" s="6"/>
    </row>
    <row r="113" spans="1:15" ht="15.6" x14ac:dyDescent="0.3">
      <c r="A113" s="165"/>
      <c r="B113" s="209"/>
      <c r="C113" s="209"/>
      <c r="D113" s="209"/>
      <c r="E113" s="209"/>
      <c r="F113" s="209"/>
      <c r="G113" s="209"/>
      <c r="H113" s="209"/>
      <c r="I113" s="209"/>
      <c r="J113" s="209"/>
      <c r="K113" s="209"/>
      <c r="L113" s="209"/>
      <c r="M113" s="225"/>
      <c r="N113" s="167"/>
      <c r="O113" s="6"/>
    </row>
    <row r="114" spans="1:15" ht="18" thickBot="1" x14ac:dyDescent="0.35">
      <c r="A114" s="181"/>
      <c r="B114" s="219" t="str">
        <f>B54</f>
        <v>PSF1 INVESTOR REPORT QUARTER ENDING JULY 2017</v>
      </c>
      <c r="C114" s="226"/>
      <c r="D114" s="226"/>
      <c r="E114" s="226"/>
      <c r="F114" s="226"/>
      <c r="G114" s="226"/>
      <c r="H114" s="226"/>
      <c r="I114" s="226"/>
      <c r="J114" s="226"/>
      <c r="K114" s="226"/>
      <c r="L114" s="226"/>
      <c r="M114" s="227"/>
      <c r="N114" s="184"/>
      <c r="O114" s="6"/>
    </row>
    <row r="115" spans="1:15" ht="15.6" x14ac:dyDescent="0.3">
      <c r="A115" s="322"/>
      <c r="B115" s="249" t="s">
        <v>62</v>
      </c>
      <c r="C115" s="245"/>
      <c r="D115" s="245"/>
      <c r="E115" s="323"/>
      <c r="F115" s="323"/>
      <c r="G115" s="323"/>
      <c r="H115" s="323"/>
      <c r="I115" s="323"/>
      <c r="J115" s="323"/>
      <c r="K115" s="323"/>
      <c r="L115" s="323"/>
      <c r="M115" s="324"/>
      <c r="N115" s="323"/>
      <c r="O115" s="6"/>
    </row>
    <row r="116" spans="1:15" ht="15.6" x14ac:dyDescent="0.3">
      <c r="A116" s="165"/>
      <c r="B116" s="177"/>
      <c r="C116" s="175"/>
      <c r="D116" s="175"/>
      <c r="E116" s="167"/>
      <c r="F116" s="167"/>
      <c r="G116" s="167"/>
      <c r="H116" s="167"/>
      <c r="I116" s="167"/>
      <c r="J116" s="167"/>
      <c r="K116" s="167"/>
      <c r="L116" s="167"/>
      <c r="M116" s="186"/>
      <c r="N116" s="167"/>
      <c r="O116" s="6"/>
    </row>
    <row r="117" spans="1:15" ht="15.6" x14ac:dyDescent="0.3">
      <c r="A117" s="165"/>
      <c r="B117" s="193" t="s">
        <v>63</v>
      </c>
      <c r="C117" s="175"/>
      <c r="D117" s="175"/>
      <c r="E117" s="167"/>
      <c r="F117" s="167"/>
      <c r="G117" s="167"/>
      <c r="H117" s="167"/>
      <c r="I117" s="167"/>
      <c r="J117" s="167"/>
      <c r="K117" s="167"/>
      <c r="L117" s="167"/>
      <c r="M117" s="186"/>
      <c r="N117" s="167"/>
      <c r="O117" s="6"/>
    </row>
    <row r="118" spans="1:15" ht="15.6" x14ac:dyDescent="0.3">
      <c r="A118" s="307"/>
      <c r="B118" s="258" t="s">
        <v>64</v>
      </c>
      <c r="C118" s="258"/>
      <c r="D118" s="258"/>
      <c r="E118" s="258"/>
      <c r="F118" s="258"/>
      <c r="G118" s="258"/>
      <c r="H118" s="258"/>
      <c r="I118" s="258"/>
      <c r="J118" s="258"/>
      <c r="K118" s="258"/>
      <c r="L118" s="258"/>
      <c r="M118" s="260">
        <f>+M30*0.045</f>
        <v>13500</v>
      </c>
      <c r="N118" s="264"/>
      <c r="O118" s="6"/>
    </row>
    <row r="119" spans="1:15" ht="15.6" x14ac:dyDescent="0.3">
      <c r="A119" s="307"/>
      <c r="B119" s="258" t="s">
        <v>65</v>
      </c>
      <c r="C119" s="258"/>
      <c r="D119" s="258"/>
      <c r="E119" s="258"/>
      <c r="F119" s="258"/>
      <c r="G119" s="258"/>
      <c r="H119" s="258"/>
      <c r="I119" s="258"/>
      <c r="J119" s="258"/>
      <c r="K119" s="258"/>
      <c r="L119" s="258"/>
      <c r="M119" s="260">
        <v>15900</v>
      </c>
      <c r="N119" s="264"/>
      <c r="O119" s="6"/>
    </row>
    <row r="120" spans="1:15" ht="15.6" x14ac:dyDescent="0.3">
      <c r="A120" s="307"/>
      <c r="B120" s="258" t="s">
        <v>66</v>
      </c>
      <c r="C120" s="258"/>
      <c r="D120" s="258"/>
      <c r="E120" s="258"/>
      <c r="F120" s="258"/>
      <c r="G120" s="258"/>
      <c r="H120" s="258"/>
      <c r="I120" s="258"/>
      <c r="J120" s="258"/>
      <c r="K120" s="258"/>
      <c r="L120" s="258"/>
      <c r="M120" s="260">
        <v>0</v>
      </c>
      <c r="N120" s="264"/>
      <c r="O120" s="6"/>
    </row>
    <row r="121" spans="1:15" ht="15.6" x14ac:dyDescent="0.3">
      <c r="A121" s="307"/>
      <c r="B121" s="258" t="s">
        <v>67</v>
      </c>
      <c r="C121" s="258"/>
      <c r="D121" s="258"/>
      <c r="E121" s="258"/>
      <c r="F121" s="258"/>
      <c r="G121" s="258"/>
      <c r="H121" s="258"/>
      <c r="I121" s="258"/>
      <c r="J121" s="258"/>
      <c r="K121" s="258"/>
      <c r="L121" s="258"/>
      <c r="M121" s="260">
        <v>0</v>
      </c>
      <c r="N121" s="264"/>
      <c r="O121" s="6"/>
    </row>
    <row r="122" spans="1:15" ht="15.6" x14ac:dyDescent="0.3">
      <c r="A122" s="307"/>
      <c r="B122" s="258" t="s">
        <v>68</v>
      </c>
      <c r="C122" s="258"/>
      <c r="D122" s="258"/>
      <c r="E122" s="258"/>
      <c r="F122" s="258"/>
      <c r="G122" s="258"/>
      <c r="H122" s="258"/>
      <c r="I122" s="258"/>
      <c r="J122" s="258"/>
      <c r="K122" s="258"/>
      <c r="L122" s="258"/>
      <c r="M122" s="260">
        <v>0</v>
      </c>
      <c r="N122" s="264"/>
      <c r="O122" s="6"/>
    </row>
    <row r="123" spans="1:15" ht="15.6" x14ac:dyDescent="0.3">
      <c r="A123" s="307"/>
      <c r="B123" s="258" t="s">
        <v>51</v>
      </c>
      <c r="C123" s="258"/>
      <c r="D123" s="258"/>
      <c r="E123" s="258"/>
      <c r="F123" s="258"/>
      <c r="G123" s="258"/>
      <c r="H123" s="258"/>
      <c r="I123" s="258"/>
      <c r="J123" s="258"/>
      <c r="K123" s="258"/>
      <c r="L123" s="258"/>
      <c r="M123" s="260">
        <v>0</v>
      </c>
      <c r="N123" s="264"/>
      <c r="O123" s="6"/>
    </row>
    <row r="124" spans="1:15" ht="15.6" x14ac:dyDescent="0.3">
      <c r="A124" s="307"/>
      <c r="B124" s="258" t="s">
        <v>52</v>
      </c>
      <c r="C124" s="258"/>
      <c r="D124" s="258"/>
      <c r="E124" s="258"/>
      <c r="F124" s="258"/>
      <c r="G124" s="258"/>
      <c r="H124" s="258"/>
      <c r="I124" s="258"/>
      <c r="J124" s="258"/>
      <c r="K124" s="258"/>
      <c r="L124" s="258"/>
      <c r="M124" s="260">
        <v>0</v>
      </c>
      <c r="N124" s="264"/>
      <c r="O124" s="6"/>
    </row>
    <row r="125" spans="1:15" ht="15.6" x14ac:dyDescent="0.3">
      <c r="A125" s="307"/>
      <c r="B125" s="258" t="s">
        <v>172</v>
      </c>
      <c r="C125" s="258"/>
      <c r="D125" s="258"/>
      <c r="E125" s="258"/>
      <c r="F125" s="258"/>
      <c r="G125" s="258"/>
      <c r="H125" s="258"/>
      <c r="I125" s="258"/>
      <c r="J125" s="258"/>
      <c r="K125" s="258"/>
      <c r="L125" s="258"/>
      <c r="M125" s="260">
        <v>0</v>
      </c>
      <c r="N125" s="264"/>
      <c r="O125" s="6"/>
    </row>
    <row r="126" spans="1:15" ht="15.6" x14ac:dyDescent="0.3">
      <c r="A126" s="307"/>
      <c r="B126" s="258" t="s">
        <v>69</v>
      </c>
      <c r="C126" s="258"/>
      <c r="D126" s="258"/>
      <c r="E126" s="258"/>
      <c r="F126" s="258"/>
      <c r="G126" s="258"/>
      <c r="H126" s="258"/>
      <c r="I126" s="258"/>
      <c r="J126" s="258"/>
      <c r="K126" s="258"/>
      <c r="L126" s="258"/>
      <c r="M126" s="260">
        <v>0</v>
      </c>
      <c r="N126" s="264"/>
      <c r="O126" s="6"/>
    </row>
    <row r="127" spans="1:15" ht="15.6" x14ac:dyDescent="0.3">
      <c r="A127" s="307"/>
      <c r="B127" s="258" t="s">
        <v>193</v>
      </c>
      <c r="C127" s="258"/>
      <c r="D127" s="258"/>
      <c r="E127" s="258"/>
      <c r="F127" s="258"/>
      <c r="G127" s="258"/>
      <c r="H127" s="258"/>
      <c r="I127" s="258"/>
      <c r="J127" s="258"/>
      <c r="K127" s="258"/>
      <c r="L127" s="258"/>
      <c r="M127" s="260">
        <f>-M98</f>
        <v>0</v>
      </c>
      <c r="N127" s="264"/>
      <c r="O127" s="6"/>
    </row>
    <row r="128" spans="1:15" ht="15.6" x14ac:dyDescent="0.3">
      <c r="A128" s="307"/>
      <c r="B128" s="258" t="s">
        <v>258</v>
      </c>
      <c r="C128" s="258"/>
      <c r="D128" s="258"/>
      <c r="E128" s="258"/>
      <c r="F128" s="258"/>
      <c r="G128" s="258"/>
      <c r="H128" s="258"/>
      <c r="I128" s="258"/>
      <c r="J128" s="258"/>
      <c r="K128" s="258"/>
      <c r="L128" s="258"/>
      <c r="M128" s="260">
        <v>0</v>
      </c>
      <c r="N128" s="264"/>
      <c r="O128" s="6"/>
    </row>
    <row r="129" spans="1:15" ht="15.6" x14ac:dyDescent="0.3">
      <c r="A129" s="307"/>
      <c r="B129" s="258" t="s">
        <v>70</v>
      </c>
      <c r="C129" s="258"/>
      <c r="D129" s="258"/>
      <c r="E129" s="258"/>
      <c r="F129" s="258"/>
      <c r="G129" s="258"/>
      <c r="H129" s="258"/>
      <c r="I129" s="258"/>
      <c r="J129" s="258"/>
      <c r="K129" s="258"/>
      <c r="L129" s="258"/>
      <c r="M129" s="260">
        <f>SUM(M119:M128)</f>
        <v>15900</v>
      </c>
      <c r="N129" s="264"/>
      <c r="O129" s="6"/>
    </row>
    <row r="130" spans="1:15" ht="15.6" x14ac:dyDescent="0.3">
      <c r="A130" s="165"/>
      <c r="B130" s="271"/>
      <c r="C130" s="271"/>
      <c r="D130" s="271"/>
      <c r="E130" s="271"/>
      <c r="F130" s="271"/>
      <c r="G130" s="271"/>
      <c r="H130" s="271"/>
      <c r="I130" s="271"/>
      <c r="J130" s="271"/>
      <c r="K130" s="271"/>
      <c r="L130" s="271"/>
      <c r="M130" s="312"/>
      <c r="N130" s="271"/>
      <c r="O130" s="6"/>
    </row>
    <row r="131" spans="1:15" ht="15.6" x14ac:dyDescent="0.3">
      <c r="A131" s="165"/>
      <c r="B131" s="193" t="s">
        <v>37</v>
      </c>
      <c r="C131" s="167"/>
      <c r="D131" s="167"/>
      <c r="E131" s="167"/>
      <c r="F131" s="167"/>
      <c r="G131" s="167"/>
      <c r="H131" s="167"/>
      <c r="I131" s="167"/>
      <c r="J131" s="167"/>
      <c r="K131" s="167"/>
      <c r="L131" s="167"/>
      <c r="M131" s="186"/>
      <c r="N131" s="167"/>
      <c r="O131" s="6"/>
    </row>
    <row r="132" spans="1:15" ht="15.6" x14ac:dyDescent="0.3">
      <c r="A132" s="307"/>
      <c r="B132" s="258" t="s">
        <v>71</v>
      </c>
      <c r="C132" s="258"/>
      <c r="D132" s="258"/>
      <c r="E132" s="320"/>
      <c r="F132" s="258"/>
      <c r="G132" s="258"/>
      <c r="H132" s="258"/>
      <c r="I132" s="258"/>
      <c r="J132" s="258"/>
      <c r="K132" s="258"/>
      <c r="L132" s="258"/>
      <c r="M132" s="292" t="s">
        <v>136</v>
      </c>
      <c r="N132" s="264"/>
      <c r="O132" s="6"/>
    </row>
    <row r="133" spans="1:15" ht="15.6" x14ac:dyDescent="0.3">
      <c r="A133" s="307"/>
      <c r="B133" s="258" t="s">
        <v>72</v>
      </c>
      <c r="C133" s="321"/>
      <c r="D133" s="321"/>
      <c r="E133" s="321"/>
      <c r="F133" s="321"/>
      <c r="G133" s="321"/>
      <c r="H133" s="321"/>
      <c r="I133" s="321"/>
      <c r="J133" s="321"/>
      <c r="K133" s="321"/>
      <c r="L133" s="321"/>
      <c r="M133" s="292" t="s">
        <v>136</v>
      </c>
      <c r="N133" s="264"/>
      <c r="O133" s="6"/>
    </row>
    <row r="134" spans="1:15" ht="15.6" x14ac:dyDescent="0.3">
      <c r="A134" s="307"/>
      <c r="B134" s="258" t="s">
        <v>73</v>
      </c>
      <c r="C134" s="258"/>
      <c r="D134" s="258"/>
      <c r="E134" s="258"/>
      <c r="F134" s="258"/>
      <c r="G134" s="258"/>
      <c r="H134" s="258"/>
      <c r="I134" s="258"/>
      <c r="J134" s="258"/>
      <c r="K134" s="258"/>
      <c r="L134" s="258"/>
      <c r="M134" s="292" t="s">
        <v>136</v>
      </c>
      <c r="N134" s="264"/>
      <c r="O134" s="6"/>
    </row>
    <row r="135" spans="1:15" ht="15.6" x14ac:dyDescent="0.3">
      <c r="A135" s="307"/>
      <c r="B135" s="258" t="s">
        <v>74</v>
      </c>
      <c r="C135" s="258"/>
      <c r="D135" s="258"/>
      <c r="E135" s="258"/>
      <c r="F135" s="258"/>
      <c r="G135" s="258"/>
      <c r="H135" s="258"/>
      <c r="I135" s="258"/>
      <c r="J135" s="258"/>
      <c r="K135" s="258"/>
      <c r="L135" s="258"/>
      <c r="M135" s="292" t="s">
        <v>136</v>
      </c>
      <c r="N135" s="264"/>
      <c r="O135" s="6"/>
    </row>
    <row r="136" spans="1:15" ht="15.6" x14ac:dyDescent="0.3">
      <c r="A136" s="165"/>
      <c r="B136" s="271"/>
      <c r="C136" s="271"/>
      <c r="D136" s="271"/>
      <c r="E136" s="271"/>
      <c r="F136" s="271"/>
      <c r="G136" s="271"/>
      <c r="H136" s="271"/>
      <c r="I136" s="271"/>
      <c r="J136" s="271"/>
      <c r="K136" s="271"/>
      <c r="L136" s="271"/>
      <c r="M136" s="312"/>
      <c r="N136" s="271"/>
      <c r="O136" s="6"/>
    </row>
    <row r="137" spans="1:15" ht="15.6" x14ac:dyDescent="0.3">
      <c r="A137" s="165"/>
      <c r="B137" s="193" t="s">
        <v>75</v>
      </c>
      <c r="C137" s="175"/>
      <c r="D137" s="175"/>
      <c r="E137" s="167"/>
      <c r="F137" s="167"/>
      <c r="G137" s="167"/>
      <c r="H137" s="167"/>
      <c r="I137" s="167"/>
      <c r="J137" s="167"/>
      <c r="K137" s="167"/>
      <c r="L137" s="167"/>
      <c r="M137" s="194"/>
      <c r="N137" s="167"/>
      <c r="O137" s="6"/>
    </row>
    <row r="138" spans="1:15" ht="15.6" x14ac:dyDescent="0.3">
      <c r="A138" s="307"/>
      <c r="B138" s="258" t="s">
        <v>76</v>
      </c>
      <c r="C138" s="258"/>
      <c r="D138" s="258"/>
      <c r="E138" s="258"/>
      <c r="F138" s="258"/>
      <c r="G138" s="258"/>
      <c r="H138" s="258"/>
      <c r="I138" s="258"/>
      <c r="J138" s="258"/>
      <c r="K138" s="258"/>
      <c r="L138" s="258"/>
      <c r="M138" s="260">
        <v>0</v>
      </c>
      <c r="N138" s="264"/>
      <c r="O138" s="6"/>
    </row>
    <row r="139" spans="1:15" ht="15.6" x14ac:dyDescent="0.3">
      <c r="A139" s="307"/>
      <c r="B139" s="258" t="s">
        <v>190</v>
      </c>
      <c r="C139" s="258"/>
      <c r="D139" s="258"/>
      <c r="E139" s="258"/>
      <c r="F139" s="258"/>
      <c r="G139" s="258"/>
      <c r="H139" s="258"/>
      <c r="I139" s="258"/>
      <c r="J139" s="258"/>
      <c r="K139" s="258"/>
      <c r="L139" s="258"/>
      <c r="M139" s="260">
        <v>-258</v>
      </c>
      <c r="N139" s="264"/>
      <c r="O139" s="6"/>
    </row>
    <row r="140" spans="1:15" ht="15.6" x14ac:dyDescent="0.3">
      <c r="A140" s="307"/>
      <c r="B140" s="258" t="s">
        <v>180</v>
      </c>
      <c r="C140" s="258"/>
      <c r="D140" s="258"/>
      <c r="E140" s="258"/>
      <c r="F140" s="258"/>
      <c r="G140" s="258"/>
      <c r="H140" s="258"/>
      <c r="I140" s="258"/>
      <c r="J140" s="258"/>
      <c r="K140" s="258"/>
      <c r="L140" s="258"/>
      <c r="M140" s="260">
        <f>67+13</f>
        <v>80</v>
      </c>
      <c r="N140" s="264"/>
      <c r="O140" s="6"/>
    </row>
    <row r="141" spans="1:15" ht="15.6" x14ac:dyDescent="0.3">
      <c r="A141" s="307"/>
      <c r="B141" s="258" t="s">
        <v>77</v>
      </c>
      <c r="C141" s="258"/>
      <c r="D141" s="258"/>
      <c r="E141" s="258"/>
      <c r="F141" s="258"/>
      <c r="G141" s="258"/>
      <c r="H141" s="258"/>
      <c r="I141" s="258"/>
      <c r="J141" s="258"/>
      <c r="K141" s="258"/>
      <c r="L141" s="258"/>
      <c r="M141" s="260">
        <f>M139+M138+M140</f>
        <v>-178</v>
      </c>
      <c r="N141" s="264"/>
      <c r="O141" s="6"/>
    </row>
    <row r="142" spans="1:15" ht="15.6" x14ac:dyDescent="0.3">
      <c r="A142" s="307"/>
      <c r="B142" s="258" t="s">
        <v>183</v>
      </c>
      <c r="C142" s="258"/>
      <c r="D142" s="258"/>
      <c r="E142" s="258"/>
      <c r="F142" s="258"/>
      <c r="G142" s="258"/>
      <c r="H142" s="258"/>
      <c r="I142" s="303"/>
      <c r="J142" s="258"/>
      <c r="K142" s="258"/>
      <c r="L142" s="258"/>
      <c r="M142" s="260">
        <f>M97</f>
        <v>178</v>
      </c>
      <c r="N142" s="264"/>
      <c r="O142" s="6"/>
    </row>
    <row r="143" spans="1:15" ht="15.6" x14ac:dyDescent="0.3">
      <c r="A143" s="307"/>
      <c r="B143" s="258" t="s">
        <v>78</v>
      </c>
      <c r="C143" s="258"/>
      <c r="D143" s="258"/>
      <c r="E143" s="258"/>
      <c r="F143" s="258"/>
      <c r="G143" s="258"/>
      <c r="H143" s="258"/>
      <c r="I143" s="258"/>
      <c r="J143" s="258"/>
      <c r="K143" s="258"/>
      <c r="L143" s="258"/>
      <c r="M143" s="260">
        <f>M141+M142</f>
        <v>0</v>
      </c>
      <c r="N143" s="264"/>
      <c r="O143" s="6"/>
    </row>
    <row r="144" spans="1:15" ht="16.2" thickBot="1" x14ac:dyDescent="0.35">
      <c r="A144" s="165"/>
      <c r="B144" s="271"/>
      <c r="C144" s="271"/>
      <c r="D144" s="271"/>
      <c r="E144" s="271"/>
      <c r="F144" s="271"/>
      <c r="G144" s="271"/>
      <c r="H144" s="271"/>
      <c r="I144" s="271"/>
      <c r="J144" s="271"/>
      <c r="K144" s="271"/>
      <c r="L144" s="271"/>
      <c r="M144" s="312"/>
      <c r="N144" s="271"/>
      <c r="O144" s="6"/>
    </row>
    <row r="145" spans="1:16" ht="15.6" x14ac:dyDescent="0.3">
      <c r="A145" s="162"/>
      <c r="B145" s="164"/>
      <c r="C145" s="164"/>
      <c r="D145" s="164"/>
      <c r="E145" s="164"/>
      <c r="F145" s="164"/>
      <c r="G145" s="164"/>
      <c r="H145" s="164"/>
      <c r="I145" s="164"/>
      <c r="J145" s="164"/>
      <c r="K145" s="164"/>
      <c r="L145" s="164"/>
      <c r="M145" s="185"/>
      <c r="N145" s="164"/>
      <c r="O145" s="6"/>
    </row>
    <row r="146" spans="1:16" ht="15.6" x14ac:dyDescent="0.3">
      <c r="A146" s="165"/>
      <c r="B146" s="193" t="s">
        <v>79</v>
      </c>
      <c r="C146" s="175"/>
      <c r="D146" s="175"/>
      <c r="E146" s="167"/>
      <c r="F146" s="167"/>
      <c r="G146" s="167"/>
      <c r="H146" s="167"/>
      <c r="I146" s="167"/>
      <c r="J146" s="167"/>
      <c r="K146" s="167"/>
      <c r="L146" s="167"/>
      <c r="M146" s="186"/>
      <c r="N146" s="167"/>
      <c r="O146" s="6"/>
    </row>
    <row r="147" spans="1:16" ht="15.6" x14ac:dyDescent="0.3">
      <c r="A147" s="165"/>
      <c r="B147" s="177"/>
      <c r="C147" s="175"/>
      <c r="D147" s="175"/>
      <c r="E147" s="167"/>
      <c r="F147" s="167"/>
      <c r="G147" s="167"/>
      <c r="H147" s="167"/>
      <c r="I147" s="167"/>
      <c r="J147" s="167"/>
      <c r="K147" s="167"/>
      <c r="L147" s="167"/>
      <c r="M147" s="186"/>
      <c r="N147" s="167"/>
      <c r="O147" s="6"/>
    </row>
    <row r="148" spans="1:16" ht="15.6" x14ac:dyDescent="0.3">
      <c r="A148" s="314"/>
      <c r="B148" s="315" t="s">
        <v>188</v>
      </c>
      <c r="C148" s="316"/>
      <c r="D148" s="316"/>
      <c r="E148" s="315"/>
      <c r="F148" s="315"/>
      <c r="G148" s="315"/>
      <c r="H148" s="315"/>
      <c r="I148" s="315"/>
      <c r="J148" s="315"/>
      <c r="K148" s="315"/>
      <c r="L148" s="315"/>
      <c r="M148" s="317">
        <f>+M62+M72+M73</f>
        <v>43730</v>
      </c>
      <c r="N148" s="318"/>
      <c r="O148" s="6"/>
      <c r="P148" s="117"/>
    </row>
    <row r="149" spans="1:16" ht="15.6" x14ac:dyDescent="0.3">
      <c r="A149" s="307"/>
      <c r="B149" s="258" t="s">
        <v>80</v>
      </c>
      <c r="C149" s="319"/>
      <c r="D149" s="319"/>
      <c r="E149" s="258"/>
      <c r="F149" s="258"/>
      <c r="G149" s="258"/>
      <c r="H149" s="258"/>
      <c r="I149" s="258"/>
      <c r="J149" s="258"/>
      <c r="K149" s="258"/>
      <c r="L149" s="258"/>
      <c r="M149" s="260">
        <f>M75</f>
        <v>43730</v>
      </c>
      <c r="N149" s="264"/>
      <c r="O149" s="6"/>
    </row>
    <row r="150" spans="1:16" ht="16.2" thickBot="1" x14ac:dyDescent="0.35">
      <c r="A150" s="165"/>
      <c r="B150" s="271"/>
      <c r="C150" s="271"/>
      <c r="D150" s="271"/>
      <c r="E150" s="271"/>
      <c r="F150" s="271"/>
      <c r="G150" s="271"/>
      <c r="H150" s="271"/>
      <c r="I150" s="271"/>
      <c r="J150" s="271"/>
      <c r="K150" s="271"/>
      <c r="L150" s="271"/>
      <c r="M150" s="312"/>
      <c r="N150" s="271"/>
      <c r="O150" s="6"/>
    </row>
    <row r="151" spans="1:16" ht="15.6" x14ac:dyDescent="0.3">
      <c r="A151" s="162"/>
      <c r="B151" s="164"/>
      <c r="C151" s="164"/>
      <c r="D151" s="164"/>
      <c r="E151" s="164"/>
      <c r="F151" s="164"/>
      <c r="G151" s="164"/>
      <c r="H151" s="164"/>
      <c r="I151" s="164"/>
      <c r="J151" s="164"/>
      <c r="K151" s="164"/>
      <c r="L151" s="164"/>
      <c r="M151" s="185"/>
      <c r="N151" s="164"/>
      <c r="O151" s="6"/>
    </row>
    <row r="152" spans="1:16" ht="15.6" x14ac:dyDescent="0.3">
      <c r="A152" s="165"/>
      <c r="B152" s="193" t="s">
        <v>81</v>
      </c>
      <c r="C152" s="169"/>
      <c r="D152" s="169"/>
      <c r="E152" s="190"/>
      <c r="F152" s="190"/>
      <c r="G152" s="190"/>
      <c r="H152" s="190"/>
      <c r="I152" s="195" t="s">
        <v>127</v>
      </c>
      <c r="J152" s="195"/>
      <c r="K152" s="195" t="s">
        <v>134</v>
      </c>
      <c r="L152" s="169"/>
      <c r="M152" s="196" t="s">
        <v>144</v>
      </c>
      <c r="N152" s="197"/>
      <c r="O152" s="6"/>
    </row>
    <row r="153" spans="1:16" ht="15.6" x14ac:dyDescent="0.3">
      <c r="A153" s="307"/>
      <c r="B153" s="258" t="s">
        <v>82</v>
      </c>
      <c r="C153" s="258"/>
      <c r="D153" s="258"/>
      <c r="E153" s="258"/>
      <c r="F153" s="258"/>
      <c r="G153" s="258"/>
      <c r="H153" s="258"/>
      <c r="I153" s="260">
        <v>15000</v>
      </c>
      <c r="J153" s="258"/>
      <c r="K153" s="313">
        <v>5000</v>
      </c>
      <c r="L153" s="258"/>
      <c r="M153" s="260">
        <v>15000</v>
      </c>
      <c r="N153" s="311"/>
      <c r="O153" s="6"/>
    </row>
    <row r="154" spans="1:16" ht="15.6" x14ac:dyDescent="0.3">
      <c r="A154" s="307"/>
      <c r="B154" s="258" t="s">
        <v>83</v>
      </c>
      <c r="C154" s="258"/>
      <c r="D154" s="258"/>
      <c r="E154" s="258"/>
      <c r="F154" s="258"/>
      <c r="G154" s="258"/>
      <c r="H154" s="258"/>
      <c r="I154" s="260">
        <f>+'April 17'!I156</f>
        <v>7636</v>
      </c>
      <c r="J154" s="258"/>
      <c r="K154" s="260">
        <f>+'April 17'!K156</f>
        <v>0</v>
      </c>
      <c r="L154" s="258"/>
      <c r="M154" s="260">
        <f>K154+I154</f>
        <v>7636</v>
      </c>
      <c r="N154" s="311"/>
      <c r="O154" s="6"/>
    </row>
    <row r="155" spans="1:16" ht="15.6" x14ac:dyDescent="0.3">
      <c r="A155" s="307"/>
      <c r="B155" s="258" t="s">
        <v>84</v>
      </c>
      <c r="C155" s="258"/>
      <c r="D155" s="258"/>
      <c r="E155" s="258"/>
      <c r="F155" s="258"/>
      <c r="G155" s="258"/>
      <c r="H155" s="258"/>
      <c r="I155" s="256">
        <v>0</v>
      </c>
      <c r="J155" s="258"/>
      <c r="K155" s="258">
        <v>0</v>
      </c>
      <c r="L155" s="258"/>
      <c r="M155" s="260">
        <f>K155+I155</f>
        <v>0</v>
      </c>
      <c r="N155" s="311"/>
      <c r="O155" s="6"/>
    </row>
    <row r="156" spans="1:16" ht="15.6" x14ac:dyDescent="0.3">
      <c r="A156" s="307"/>
      <c r="B156" s="258" t="s">
        <v>85</v>
      </c>
      <c r="C156" s="258"/>
      <c r="D156" s="258"/>
      <c r="E156" s="258"/>
      <c r="F156" s="258"/>
      <c r="G156" s="258"/>
      <c r="H156" s="258"/>
      <c r="I156" s="260">
        <f>I154+I155</f>
        <v>7636</v>
      </c>
      <c r="J156" s="258"/>
      <c r="K156" s="260">
        <f>K155+K154</f>
        <v>0</v>
      </c>
      <c r="L156" s="258"/>
      <c r="M156" s="260">
        <f>K156+I156</f>
        <v>7636</v>
      </c>
      <c r="N156" s="311"/>
      <c r="O156" s="6"/>
    </row>
    <row r="157" spans="1:16" ht="15.6" x14ac:dyDescent="0.3">
      <c r="A157" s="307"/>
      <c r="B157" s="258" t="s">
        <v>86</v>
      </c>
      <c r="C157" s="258"/>
      <c r="D157" s="258"/>
      <c r="E157" s="258"/>
      <c r="F157" s="258"/>
      <c r="G157" s="258"/>
      <c r="H157" s="258"/>
      <c r="I157" s="260">
        <f>I153-I156-K156</f>
        <v>7364</v>
      </c>
      <c r="J157" s="258"/>
      <c r="K157" s="290">
        <v>0</v>
      </c>
      <c r="L157" s="258"/>
      <c r="M157" s="260"/>
      <c r="N157" s="311"/>
      <c r="O157" s="6"/>
    </row>
    <row r="158" spans="1:16" ht="16.2" thickBot="1" x14ac:dyDescent="0.35">
      <c r="A158" s="165"/>
      <c r="B158" s="271"/>
      <c r="C158" s="271"/>
      <c r="D158" s="271"/>
      <c r="E158" s="271"/>
      <c r="F158" s="271"/>
      <c r="G158" s="271"/>
      <c r="H158" s="271"/>
      <c r="I158" s="271"/>
      <c r="J158" s="271"/>
      <c r="K158" s="271"/>
      <c r="L158" s="271"/>
      <c r="M158" s="312"/>
      <c r="N158" s="271"/>
      <c r="O158" s="6"/>
    </row>
    <row r="159" spans="1:16" ht="15.6" x14ac:dyDescent="0.3">
      <c r="A159" s="162"/>
      <c r="B159" s="164"/>
      <c r="C159" s="164"/>
      <c r="D159" s="164"/>
      <c r="E159" s="164"/>
      <c r="F159" s="164"/>
      <c r="G159" s="164"/>
      <c r="H159" s="164"/>
      <c r="I159" s="164"/>
      <c r="J159" s="164"/>
      <c r="K159" s="164"/>
      <c r="L159" s="164"/>
      <c r="M159" s="185"/>
      <c r="N159" s="164"/>
      <c r="O159" s="6"/>
    </row>
    <row r="160" spans="1:16" ht="15.6" x14ac:dyDescent="0.3">
      <c r="A160" s="165"/>
      <c r="B160" s="193" t="s">
        <v>87</v>
      </c>
      <c r="C160" s="175"/>
      <c r="D160" s="175"/>
      <c r="E160" s="167"/>
      <c r="F160" s="167"/>
      <c r="G160" s="167"/>
      <c r="H160" s="167"/>
      <c r="I160" s="167"/>
      <c r="J160" s="167"/>
      <c r="K160" s="167"/>
      <c r="L160" s="167"/>
      <c r="M160" s="198"/>
      <c r="N160" s="167"/>
      <c r="O160" s="6"/>
    </row>
    <row r="161" spans="1:15" ht="15.6" x14ac:dyDescent="0.3">
      <c r="A161" s="307"/>
      <c r="B161" s="258" t="s">
        <v>88</v>
      </c>
      <c r="C161" s="258"/>
      <c r="D161" s="258"/>
      <c r="E161" s="258"/>
      <c r="F161" s="258"/>
      <c r="G161" s="258"/>
      <c r="H161" s="258"/>
      <c r="I161" s="258"/>
      <c r="J161" s="258"/>
      <c r="K161" s="258"/>
      <c r="L161" s="258"/>
      <c r="M161" s="308">
        <f>(M87+M89+M90+M91+M92)/-M93</f>
        <v>23.533333333333335</v>
      </c>
      <c r="N161" s="264" t="s">
        <v>145</v>
      </c>
      <c r="O161" s="6"/>
    </row>
    <row r="162" spans="1:15" ht="15.6" x14ac:dyDescent="0.3">
      <c r="A162" s="307"/>
      <c r="B162" s="258" t="s">
        <v>89</v>
      </c>
      <c r="C162" s="258"/>
      <c r="D162" s="258"/>
      <c r="E162" s="258"/>
      <c r="F162" s="258"/>
      <c r="G162" s="258"/>
      <c r="H162" s="258"/>
      <c r="I162" s="258"/>
      <c r="J162" s="258"/>
      <c r="K162" s="258"/>
      <c r="L162" s="258"/>
      <c r="M162" s="309">
        <v>3.84</v>
      </c>
      <c r="N162" s="264" t="s">
        <v>145</v>
      </c>
      <c r="O162" s="6"/>
    </row>
    <row r="163" spans="1:15" ht="15.6" x14ac:dyDescent="0.3">
      <c r="A163" s="307"/>
      <c r="B163" s="258" t="s">
        <v>90</v>
      </c>
      <c r="C163" s="258"/>
      <c r="D163" s="258"/>
      <c r="E163" s="258"/>
      <c r="F163" s="258"/>
      <c r="G163" s="258"/>
      <c r="H163" s="258"/>
      <c r="I163" s="258"/>
      <c r="J163" s="258"/>
      <c r="K163" s="258"/>
      <c r="L163" s="258"/>
      <c r="M163" s="308">
        <f>(M87+M89+M90+M91+M92+M93)/-M94</f>
        <v>17.1864406779661</v>
      </c>
      <c r="N163" s="264" t="s">
        <v>145</v>
      </c>
      <c r="O163" s="6"/>
    </row>
    <row r="164" spans="1:15" ht="15.6" x14ac:dyDescent="0.3">
      <c r="A164" s="307"/>
      <c r="B164" s="258" t="s">
        <v>91</v>
      </c>
      <c r="C164" s="258"/>
      <c r="D164" s="258"/>
      <c r="E164" s="258"/>
      <c r="F164" s="258"/>
      <c r="G164" s="258"/>
      <c r="H164" s="258"/>
      <c r="I164" s="258"/>
      <c r="J164" s="258"/>
      <c r="K164" s="258"/>
      <c r="L164" s="258"/>
      <c r="M164" s="310">
        <v>10.15</v>
      </c>
      <c r="N164" s="264" t="s">
        <v>145</v>
      </c>
      <c r="O164" s="6"/>
    </row>
    <row r="165" spans="1:15" ht="15.6" x14ac:dyDescent="0.3">
      <c r="A165" s="307"/>
      <c r="B165" s="258" t="s">
        <v>181</v>
      </c>
      <c r="C165" s="258"/>
      <c r="D165" s="258"/>
      <c r="E165" s="258"/>
      <c r="F165" s="258"/>
      <c r="G165" s="258"/>
      <c r="H165" s="258"/>
      <c r="I165" s="258"/>
      <c r="J165" s="258"/>
      <c r="K165" s="258"/>
      <c r="L165" s="258"/>
      <c r="M165" s="308">
        <f>(M87+M89+M90+M91+M92+M93+M94)/-M95</f>
        <v>19.489795918367346</v>
      </c>
      <c r="N165" s="264" t="s">
        <v>145</v>
      </c>
      <c r="O165" s="6"/>
    </row>
    <row r="166" spans="1:15" ht="15.6" x14ac:dyDescent="0.3">
      <c r="A166" s="307"/>
      <c r="B166" s="258" t="s">
        <v>182</v>
      </c>
      <c r="C166" s="258"/>
      <c r="D166" s="258"/>
      <c r="E166" s="258"/>
      <c r="F166" s="258"/>
      <c r="G166" s="258"/>
      <c r="H166" s="258"/>
      <c r="I166" s="258"/>
      <c r="J166" s="258"/>
      <c r="K166" s="258"/>
      <c r="L166" s="258"/>
      <c r="M166" s="310">
        <v>12.9</v>
      </c>
      <c r="N166" s="264" t="s">
        <v>145</v>
      </c>
      <c r="O166" s="6"/>
    </row>
    <row r="167" spans="1:15" ht="15.6" x14ac:dyDescent="0.3">
      <c r="A167" s="307"/>
      <c r="B167" s="280"/>
      <c r="C167" s="280"/>
      <c r="D167" s="280"/>
      <c r="E167" s="280"/>
      <c r="F167" s="280"/>
      <c r="G167" s="280"/>
      <c r="H167" s="280"/>
      <c r="I167" s="280"/>
      <c r="J167" s="280"/>
      <c r="K167" s="280"/>
      <c r="L167" s="280"/>
      <c r="M167" s="280"/>
      <c r="N167" s="311"/>
      <c r="O167" s="6"/>
    </row>
    <row r="168" spans="1:15" ht="15.6" x14ac:dyDescent="0.3">
      <c r="A168" s="165"/>
      <c r="B168" s="271"/>
      <c r="C168" s="271"/>
      <c r="D168" s="271"/>
      <c r="E168" s="271"/>
      <c r="F168" s="271"/>
      <c r="G168" s="271"/>
      <c r="H168" s="271"/>
      <c r="I168" s="271"/>
      <c r="J168" s="271"/>
      <c r="K168" s="271"/>
      <c r="L168" s="271"/>
      <c r="M168" s="271"/>
      <c r="N168" s="271"/>
      <c r="O168" s="6"/>
    </row>
    <row r="169" spans="1:15" ht="15.6" x14ac:dyDescent="0.3">
      <c r="A169" s="165"/>
      <c r="B169" s="167"/>
      <c r="C169" s="167"/>
      <c r="D169" s="167"/>
      <c r="E169" s="167"/>
      <c r="F169" s="167"/>
      <c r="G169" s="167"/>
      <c r="H169" s="167"/>
      <c r="I169" s="167"/>
      <c r="J169" s="167"/>
      <c r="K169" s="167"/>
      <c r="L169" s="167"/>
      <c r="M169" s="167"/>
      <c r="N169" s="167"/>
      <c r="O169" s="6"/>
    </row>
    <row r="170" spans="1:15" ht="18" thickBot="1" x14ac:dyDescent="0.35">
      <c r="A170" s="181"/>
      <c r="B170" s="219" t="str">
        <f>B114</f>
        <v>PSF1 INVESTOR REPORT QUARTER ENDING JULY 2017</v>
      </c>
      <c r="C170" s="199"/>
      <c r="D170" s="199"/>
      <c r="E170" s="199"/>
      <c r="F170" s="199"/>
      <c r="G170" s="199"/>
      <c r="H170" s="199"/>
      <c r="I170" s="199"/>
      <c r="J170" s="199"/>
      <c r="K170" s="199"/>
      <c r="L170" s="199"/>
      <c r="M170" s="199"/>
      <c r="N170" s="200"/>
      <c r="O170" s="6"/>
    </row>
    <row r="171" spans="1:15" ht="15.6" x14ac:dyDescent="0.3">
      <c r="A171" s="244"/>
      <c r="B171" s="249" t="s">
        <v>92</v>
      </c>
      <c r="C171" s="246"/>
      <c r="D171" s="246"/>
      <c r="E171" s="246"/>
      <c r="F171" s="246"/>
      <c r="G171" s="246"/>
      <c r="H171" s="247"/>
      <c r="I171" s="247"/>
      <c r="J171" s="247"/>
      <c r="K171" s="247">
        <v>42947</v>
      </c>
      <c r="L171" s="248"/>
      <c r="M171" s="248"/>
      <c r="N171" s="248"/>
      <c r="O171" s="6"/>
    </row>
    <row r="172" spans="1:15" ht="15.6" x14ac:dyDescent="0.3">
      <c r="A172" s="201"/>
      <c r="B172" s="202"/>
      <c r="C172" s="203"/>
      <c r="D172" s="203"/>
      <c r="E172" s="203"/>
      <c r="F172" s="203"/>
      <c r="G172" s="203"/>
      <c r="H172" s="204"/>
      <c r="I172" s="204"/>
      <c r="J172" s="204"/>
      <c r="K172" s="204"/>
      <c r="L172" s="167"/>
      <c r="M172" s="167"/>
      <c r="N172" s="167"/>
      <c r="O172" s="6"/>
    </row>
    <row r="173" spans="1:15" ht="15.6" x14ac:dyDescent="0.3">
      <c r="A173" s="301"/>
      <c r="B173" s="258" t="s">
        <v>93</v>
      </c>
      <c r="C173" s="302"/>
      <c r="D173" s="302"/>
      <c r="E173" s="302"/>
      <c r="F173" s="302"/>
      <c r="G173" s="302"/>
      <c r="H173" s="303"/>
      <c r="I173" s="303"/>
      <c r="J173" s="303"/>
      <c r="K173" s="304">
        <v>9.4600000000000004E-2</v>
      </c>
      <c r="L173" s="258"/>
      <c r="M173" s="258"/>
      <c r="N173" s="264"/>
      <c r="O173" s="6"/>
    </row>
    <row r="174" spans="1:15" ht="15.6" x14ac:dyDescent="0.3">
      <c r="A174" s="301"/>
      <c r="B174" s="258" t="s">
        <v>94</v>
      </c>
      <c r="C174" s="302"/>
      <c r="D174" s="302"/>
      <c r="E174" s="302"/>
      <c r="F174" s="302"/>
      <c r="G174" s="302"/>
      <c r="H174" s="303"/>
      <c r="I174" s="303"/>
      <c r="J174" s="303"/>
      <c r="K174" s="304">
        <v>5.2327499999999992E-2</v>
      </c>
      <c r="L174" s="258"/>
      <c r="M174" s="258"/>
      <c r="N174" s="264"/>
      <c r="O174" s="6"/>
    </row>
    <row r="175" spans="1:15" ht="15.6" x14ac:dyDescent="0.3">
      <c r="A175" s="301"/>
      <c r="B175" s="258" t="s">
        <v>95</v>
      </c>
      <c r="C175" s="302"/>
      <c r="D175" s="302"/>
      <c r="E175" s="302"/>
      <c r="F175" s="302"/>
      <c r="G175" s="302"/>
      <c r="H175" s="303"/>
      <c r="I175" s="303"/>
      <c r="J175" s="303"/>
      <c r="K175" s="304">
        <f>K173-K174</f>
        <v>4.2272500000000011E-2</v>
      </c>
      <c r="L175" s="258"/>
      <c r="M175" s="258"/>
      <c r="N175" s="264"/>
      <c r="O175" s="6"/>
    </row>
    <row r="176" spans="1:15" ht="15.6" x14ac:dyDescent="0.3">
      <c r="A176" s="301"/>
      <c r="B176" s="258" t="s">
        <v>96</v>
      </c>
      <c r="C176" s="302"/>
      <c r="D176" s="302"/>
      <c r="E176" s="302"/>
      <c r="F176" s="302"/>
      <c r="G176" s="302"/>
      <c r="H176" s="303"/>
      <c r="I176" s="303"/>
      <c r="J176" s="303"/>
      <c r="K176" s="304">
        <v>9.4799999999999995E-2</v>
      </c>
      <c r="L176" s="258"/>
      <c r="M176" s="258"/>
      <c r="N176" s="264"/>
      <c r="O176" s="6"/>
    </row>
    <row r="177" spans="1:15" ht="15.6" x14ac:dyDescent="0.3">
      <c r="A177" s="301"/>
      <c r="B177" s="258" t="s">
        <v>97</v>
      </c>
      <c r="C177" s="302"/>
      <c r="D177" s="302"/>
      <c r="E177" s="302"/>
      <c r="F177" s="302"/>
      <c r="G177" s="302"/>
      <c r="H177" s="303"/>
      <c r="I177" s="303"/>
      <c r="J177" s="303"/>
      <c r="K177" s="304">
        <f>M36</f>
        <v>1.312540499445307E-2</v>
      </c>
      <c r="L177" s="258"/>
      <c r="M177" s="258"/>
      <c r="N177" s="264"/>
      <c r="O177" s="6"/>
    </row>
    <row r="178" spans="1:15" ht="15.6" x14ac:dyDescent="0.3">
      <c r="A178" s="301"/>
      <c r="B178" s="258" t="s">
        <v>98</v>
      </c>
      <c r="C178" s="302"/>
      <c r="D178" s="302"/>
      <c r="E178" s="302"/>
      <c r="F178" s="302"/>
      <c r="G178" s="302"/>
      <c r="H178" s="303"/>
      <c r="I178" s="303"/>
      <c r="J178" s="303"/>
      <c r="K178" s="304">
        <f>K176-K177</f>
        <v>8.1674595005546927E-2</v>
      </c>
      <c r="L178" s="258"/>
      <c r="M178" s="258"/>
      <c r="N178" s="264"/>
      <c r="O178" s="6"/>
    </row>
    <row r="179" spans="1:15" ht="15.6" x14ac:dyDescent="0.3">
      <c r="A179" s="301"/>
      <c r="B179" s="258" t="s">
        <v>211</v>
      </c>
      <c r="C179" s="302"/>
      <c r="D179" s="302"/>
      <c r="E179" s="302"/>
      <c r="F179" s="302"/>
      <c r="G179" s="302"/>
      <c r="H179" s="303"/>
      <c r="I179" s="303"/>
      <c r="J179" s="303"/>
      <c r="K179" s="304">
        <f>(+M87+M89)/E58</f>
        <v>2.3545915614546241E-2</v>
      </c>
      <c r="L179" s="258"/>
      <c r="M179" s="258"/>
      <c r="N179" s="264"/>
      <c r="O179" s="6"/>
    </row>
    <row r="180" spans="1:15" ht="15.6" x14ac:dyDescent="0.3">
      <c r="A180" s="301"/>
      <c r="B180" s="258" t="s">
        <v>99</v>
      </c>
      <c r="C180" s="302"/>
      <c r="D180" s="302"/>
      <c r="E180" s="302"/>
      <c r="F180" s="302"/>
      <c r="G180" s="302"/>
      <c r="H180" s="303"/>
      <c r="I180" s="303"/>
      <c r="J180" s="303"/>
      <c r="K180" s="305">
        <v>49628</v>
      </c>
      <c r="L180" s="258"/>
      <c r="M180" s="258"/>
      <c r="N180" s="264"/>
      <c r="O180" s="6"/>
    </row>
    <row r="181" spans="1:15" ht="15.6" x14ac:dyDescent="0.3">
      <c r="A181" s="301"/>
      <c r="B181" s="258" t="s">
        <v>100</v>
      </c>
      <c r="C181" s="302"/>
      <c r="D181" s="302"/>
      <c r="E181" s="302"/>
      <c r="F181" s="302"/>
      <c r="G181" s="302"/>
      <c r="H181" s="303"/>
      <c r="I181" s="303"/>
      <c r="J181" s="303"/>
      <c r="K181" s="305">
        <v>49628</v>
      </c>
      <c r="L181" s="258"/>
      <c r="M181" s="258"/>
      <c r="N181" s="264"/>
      <c r="O181" s="6"/>
    </row>
    <row r="182" spans="1:15" ht="15.6" x14ac:dyDescent="0.3">
      <c r="A182" s="301"/>
      <c r="B182" s="258" t="s">
        <v>165</v>
      </c>
      <c r="C182" s="302"/>
      <c r="D182" s="302"/>
      <c r="E182" s="302"/>
      <c r="F182" s="302"/>
      <c r="G182" s="302"/>
      <c r="H182" s="303"/>
      <c r="I182" s="303"/>
      <c r="J182" s="303"/>
      <c r="K182" s="305">
        <v>49628</v>
      </c>
      <c r="L182" s="258"/>
      <c r="M182" s="258"/>
      <c r="N182" s="264"/>
      <c r="O182" s="6"/>
    </row>
    <row r="183" spans="1:15" ht="15.6" x14ac:dyDescent="0.3">
      <c r="A183" s="301"/>
      <c r="B183" s="258" t="s">
        <v>101</v>
      </c>
      <c r="C183" s="302"/>
      <c r="D183" s="302"/>
      <c r="E183" s="302"/>
      <c r="F183" s="302"/>
      <c r="G183" s="302"/>
      <c r="H183" s="303"/>
      <c r="I183" s="303"/>
      <c r="J183" s="303"/>
      <c r="K183" s="306">
        <v>15.78</v>
      </c>
      <c r="L183" s="258" t="s">
        <v>139</v>
      </c>
      <c r="M183" s="258"/>
      <c r="N183" s="264"/>
      <c r="O183" s="6"/>
    </row>
    <row r="184" spans="1:15" ht="15.6" x14ac:dyDescent="0.3">
      <c r="A184" s="301"/>
      <c r="B184" s="258" t="s">
        <v>102</v>
      </c>
      <c r="C184" s="302"/>
      <c r="D184" s="302"/>
      <c r="E184" s="302"/>
      <c r="F184" s="302"/>
      <c r="G184" s="302"/>
      <c r="H184" s="303"/>
      <c r="I184" s="303"/>
      <c r="J184" s="303"/>
      <c r="K184" s="306">
        <v>10.220000000000001</v>
      </c>
      <c r="L184" s="258" t="s">
        <v>139</v>
      </c>
      <c r="M184" s="258"/>
      <c r="N184" s="264"/>
      <c r="O184" s="6"/>
    </row>
    <row r="185" spans="1:15" ht="15.6" x14ac:dyDescent="0.3">
      <c r="A185" s="301"/>
      <c r="B185" s="258" t="s">
        <v>103</v>
      </c>
      <c r="C185" s="302"/>
      <c r="D185" s="302"/>
      <c r="E185" s="302"/>
      <c r="F185" s="302"/>
      <c r="G185" s="302"/>
      <c r="H185" s="303"/>
      <c r="I185" s="303"/>
      <c r="J185" s="303"/>
      <c r="K185" s="304">
        <f>K80/E58</f>
        <v>6.0062587676702278E-2</v>
      </c>
      <c r="L185" s="258"/>
      <c r="M185" s="258"/>
      <c r="N185" s="264"/>
      <c r="O185" s="6"/>
    </row>
    <row r="186" spans="1:15" ht="15.6" x14ac:dyDescent="0.3">
      <c r="A186" s="301"/>
      <c r="B186" s="258" t="s">
        <v>104</v>
      </c>
      <c r="C186" s="302"/>
      <c r="D186" s="302"/>
      <c r="E186" s="302"/>
      <c r="F186" s="302"/>
      <c r="G186" s="302"/>
      <c r="H186" s="303"/>
      <c r="I186" s="303"/>
      <c r="J186" s="303"/>
      <c r="K186" s="304">
        <v>0.223</v>
      </c>
      <c r="L186" s="258"/>
      <c r="M186" s="258"/>
      <c r="N186" s="264"/>
      <c r="O186" s="6"/>
    </row>
    <row r="187" spans="1:15" ht="15.6" x14ac:dyDescent="0.3">
      <c r="A187" s="201"/>
      <c r="B187" s="251"/>
      <c r="C187" s="251"/>
      <c r="D187" s="251"/>
      <c r="E187" s="251"/>
      <c r="F187" s="251"/>
      <c r="G187" s="251"/>
      <c r="H187" s="251"/>
      <c r="I187" s="251"/>
      <c r="J187" s="251"/>
      <c r="K187" s="299"/>
      <c r="L187" s="251"/>
      <c r="M187" s="300"/>
      <c r="N187" s="251"/>
      <c r="O187" s="6"/>
    </row>
    <row r="188" spans="1:15" ht="15.6" x14ac:dyDescent="0.3">
      <c r="A188" s="243"/>
      <c r="B188" s="239" t="s">
        <v>105</v>
      </c>
      <c r="C188" s="240"/>
      <c r="D188" s="240"/>
      <c r="E188" s="241"/>
      <c r="F188" s="240"/>
      <c r="G188" s="241"/>
      <c r="H188" s="240"/>
      <c r="I188" s="241"/>
      <c r="J188" s="240" t="s">
        <v>128</v>
      </c>
      <c r="K188" s="241" t="s">
        <v>135</v>
      </c>
      <c r="L188" s="242"/>
      <c r="M188" s="242"/>
      <c r="N188" s="242"/>
      <c r="O188" s="6"/>
    </row>
    <row r="189" spans="1:15" ht="15.6" x14ac:dyDescent="0.3">
      <c r="A189" s="205"/>
      <c r="B189" s="217" t="s">
        <v>106</v>
      </c>
      <c r="C189" s="220"/>
      <c r="D189" s="220"/>
      <c r="E189" s="220"/>
      <c r="F189" s="220"/>
      <c r="G189" s="217"/>
      <c r="H189" s="217"/>
      <c r="I189" s="217"/>
      <c r="J189" s="378">
        <v>296</v>
      </c>
      <c r="K189" s="379">
        <v>6066</v>
      </c>
      <c r="L189" s="217"/>
      <c r="M189" s="229"/>
      <c r="N189" s="230"/>
      <c r="O189" s="6"/>
    </row>
    <row r="190" spans="1:15" ht="15.6" x14ac:dyDescent="0.3">
      <c r="A190" s="275"/>
      <c r="B190" s="258" t="s">
        <v>196</v>
      </c>
      <c r="C190" s="256"/>
      <c r="D190" s="256"/>
      <c r="E190" s="256"/>
      <c r="F190" s="256"/>
      <c r="G190" s="258"/>
      <c r="H190" s="258"/>
      <c r="I190" s="258"/>
      <c r="J190" s="380">
        <v>0</v>
      </c>
      <c r="K190" s="381">
        <v>0</v>
      </c>
      <c r="L190" s="258"/>
      <c r="M190" s="261"/>
      <c r="N190" s="263"/>
      <c r="O190" s="6"/>
    </row>
    <row r="191" spans="1:15" ht="15.6" x14ac:dyDescent="0.3">
      <c r="A191" s="275"/>
      <c r="B191" s="278" t="s">
        <v>107</v>
      </c>
      <c r="C191" s="279"/>
      <c r="D191" s="279"/>
      <c r="E191" s="279"/>
      <c r="F191" s="279"/>
      <c r="G191" s="280"/>
      <c r="H191" s="280"/>
      <c r="I191" s="280"/>
      <c r="J191" s="280"/>
      <c r="K191" s="277">
        <v>0</v>
      </c>
      <c r="L191" s="280"/>
      <c r="M191" s="281"/>
      <c r="N191" s="282"/>
      <c r="O191" s="6"/>
    </row>
    <row r="192" spans="1:15" ht="15.6" x14ac:dyDescent="0.3">
      <c r="A192" s="275"/>
      <c r="B192" s="278" t="s">
        <v>240</v>
      </c>
      <c r="C192" s="279"/>
      <c r="D192" s="279"/>
      <c r="E192" s="279"/>
      <c r="F192" s="279"/>
      <c r="G192" s="280"/>
      <c r="H192" s="280"/>
      <c r="I192" s="280"/>
      <c r="J192" s="280"/>
      <c r="K192" s="277">
        <f>+I58</f>
        <v>0</v>
      </c>
      <c r="L192" s="280"/>
      <c r="M192" s="281"/>
      <c r="N192" s="282"/>
      <c r="O192" s="6"/>
    </row>
    <row r="193" spans="1:15" ht="15.6" x14ac:dyDescent="0.3">
      <c r="A193" s="283"/>
      <c r="B193" s="278" t="s">
        <v>109</v>
      </c>
      <c r="C193" s="279"/>
      <c r="D193" s="279"/>
      <c r="E193" s="284"/>
      <c r="F193" s="284"/>
      <c r="G193" s="284"/>
      <c r="H193" s="280"/>
      <c r="I193" s="280"/>
      <c r="J193" s="280"/>
      <c r="K193" s="285"/>
      <c r="L193" s="280"/>
      <c r="M193" s="281"/>
      <c r="N193" s="286"/>
      <c r="O193" s="6"/>
    </row>
    <row r="194" spans="1:15" ht="15.6" x14ac:dyDescent="0.3">
      <c r="A194" s="283"/>
      <c r="B194" s="258" t="s">
        <v>110</v>
      </c>
      <c r="C194" s="256"/>
      <c r="D194" s="256"/>
      <c r="E194" s="258"/>
      <c r="F194" s="258"/>
      <c r="G194" s="258"/>
      <c r="H194" s="258"/>
      <c r="I194" s="258"/>
      <c r="J194" s="258"/>
      <c r="K194" s="375">
        <f>+M141</f>
        <v>-178</v>
      </c>
      <c r="L194" s="258"/>
      <c r="M194" s="281"/>
      <c r="N194" s="286"/>
      <c r="O194" s="6"/>
    </row>
    <row r="195" spans="1:15" ht="15.6" x14ac:dyDescent="0.3">
      <c r="A195" s="275"/>
      <c r="B195" s="258" t="s">
        <v>111</v>
      </c>
      <c r="C195" s="256"/>
      <c r="D195" s="256"/>
      <c r="E195" s="256"/>
      <c r="F195" s="256"/>
      <c r="G195" s="256"/>
      <c r="H195" s="258"/>
      <c r="I195" s="258"/>
      <c r="J195" s="258"/>
      <c r="K195" s="375">
        <f>'April 17'!K195+'July 17'!K194</f>
        <v>36983</v>
      </c>
      <c r="L195" s="258"/>
      <c r="M195" s="281"/>
      <c r="N195" s="286"/>
      <c r="O195" s="6"/>
    </row>
    <row r="196" spans="1:15" ht="15.6" x14ac:dyDescent="0.3">
      <c r="A196" s="275"/>
      <c r="B196" s="258" t="s">
        <v>112</v>
      </c>
      <c r="C196" s="256"/>
      <c r="D196" s="256"/>
      <c r="E196" s="256"/>
      <c r="F196" s="256"/>
      <c r="G196" s="256"/>
      <c r="H196" s="258"/>
      <c r="I196" s="258"/>
      <c r="J196" s="258"/>
      <c r="K196" s="375">
        <f>'April 17'!K196+405</f>
        <v>17557</v>
      </c>
      <c r="L196" s="258"/>
      <c r="M196" s="281"/>
      <c r="N196" s="286"/>
      <c r="O196" s="6"/>
    </row>
    <row r="197" spans="1:15" ht="15.6" x14ac:dyDescent="0.3">
      <c r="A197" s="283"/>
      <c r="B197" s="278" t="s">
        <v>241</v>
      </c>
      <c r="C197" s="279"/>
      <c r="D197" s="279"/>
      <c r="E197" s="284"/>
      <c r="F197" s="284"/>
      <c r="G197" s="284"/>
      <c r="H197" s="280"/>
      <c r="I197" s="280"/>
      <c r="J197" s="280"/>
      <c r="K197" s="285"/>
      <c r="L197" s="280"/>
      <c r="M197" s="281"/>
      <c r="N197" s="286"/>
      <c r="O197" s="6"/>
    </row>
    <row r="198" spans="1:15" ht="15.6" x14ac:dyDescent="0.3">
      <c r="A198" s="283"/>
      <c r="B198" s="258" t="s">
        <v>236</v>
      </c>
      <c r="C198" s="256"/>
      <c r="D198" s="256"/>
      <c r="E198" s="258"/>
      <c r="F198" s="258"/>
      <c r="G198" s="258"/>
      <c r="H198" s="258"/>
      <c r="I198" s="258"/>
      <c r="J198" s="258"/>
      <c r="K198" s="375">
        <v>0</v>
      </c>
      <c r="L198" s="258"/>
      <c r="M198" s="261"/>
      <c r="N198" s="286"/>
      <c r="O198" s="6"/>
    </row>
    <row r="199" spans="1:15" ht="15.6" x14ac:dyDescent="0.3">
      <c r="A199" s="275"/>
      <c r="B199" s="258" t="s">
        <v>113</v>
      </c>
      <c r="C199" s="256"/>
      <c r="D199" s="256"/>
      <c r="E199" s="290"/>
      <c r="F199" s="290"/>
      <c r="G199" s="291"/>
      <c r="H199" s="258"/>
      <c r="I199" s="258"/>
      <c r="J199" s="258"/>
      <c r="K199" s="376">
        <v>0</v>
      </c>
      <c r="L199" s="258"/>
      <c r="M199" s="261"/>
      <c r="N199" s="286"/>
      <c r="O199" s="6"/>
    </row>
    <row r="200" spans="1:15" ht="15.6" x14ac:dyDescent="0.3">
      <c r="A200" s="275"/>
      <c r="B200" s="258" t="s">
        <v>114</v>
      </c>
      <c r="C200" s="256"/>
      <c r="D200" s="256"/>
      <c r="E200" s="290"/>
      <c r="F200" s="290"/>
      <c r="G200" s="291"/>
      <c r="H200" s="258"/>
      <c r="I200" s="258"/>
      <c r="J200" s="258"/>
      <c r="K200" s="376">
        <v>0</v>
      </c>
      <c r="L200" s="258"/>
      <c r="M200" s="261"/>
      <c r="N200" s="286"/>
      <c r="O200" s="6"/>
    </row>
    <row r="201" spans="1:15" ht="15.6" x14ac:dyDescent="0.3">
      <c r="A201" s="275"/>
      <c r="B201" s="284"/>
      <c r="C201" s="279"/>
      <c r="D201" s="279"/>
      <c r="E201" s="293"/>
      <c r="F201" s="294"/>
      <c r="G201" s="295"/>
      <c r="H201" s="280"/>
      <c r="I201" s="280"/>
      <c r="J201" s="280"/>
      <c r="K201" s="296"/>
      <c r="L201" s="280"/>
      <c r="M201" s="281"/>
      <c r="N201" s="286"/>
      <c r="O201" s="6"/>
    </row>
    <row r="202" spans="1:15" ht="17.399999999999999" x14ac:dyDescent="0.3">
      <c r="A202" s="275"/>
      <c r="B202" s="297" t="s">
        <v>200</v>
      </c>
      <c r="C202" s="279"/>
      <c r="D202" s="279"/>
      <c r="E202" s="293"/>
      <c r="F202" s="294"/>
      <c r="G202" s="295"/>
      <c r="H202" s="280"/>
      <c r="I202" s="280"/>
      <c r="J202" s="280"/>
      <c r="K202" s="298" t="s">
        <v>199</v>
      </c>
      <c r="L202" s="280"/>
      <c r="M202" s="281"/>
      <c r="N202" s="286"/>
      <c r="O202" s="6"/>
    </row>
    <row r="203" spans="1:15" ht="15.6" x14ac:dyDescent="0.3">
      <c r="A203" s="265"/>
      <c r="B203" s="266"/>
      <c r="C203" s="267"/>
      <c r="D203" s="267"/>
      <c r="E203" s="268"/>
      <c r="F203" s="269"/>
      <c r="G203" s="270"/>
      <c r="H203" s="271"/>
      <c r="I203" s="271"/>
      <c r="J203" s="271"/>
      <c r="K203" s="272"/>
      <c r="L203" s="271"/>
      <c r="M203" s="273"/>
      <c r="N203" s="274"/>
      <c r="O203" s="6"/>
    </row>
    <row r="204" spans="1:15" ht="15.6" x14ac:dyDescent="0.3">
      <c r="A204" s="238"/>
      <c r="B204" s="239" t="s">
        <v>115</v>
      </c>
      <c r="C204" s="240"/>
      <c r="D204" s="240"/>
      <c r="E204" s="241"/>
      <c r="F204" s="240"/>
      <c r="G204" s="241"/>
      <c r="H204" s="240"/>
      <c r="I204" s="241" t="s">
        <v>128</v>
      </c>
      <c r="J204" s="240" t="s">
        <v>129</v>
      </c>
      <c r="K204" s="241" t="s">
        <v>137</v>
      </c>
      <c r="L204" s="240" t="s">
        <v>129</v>
      </c>
      <c r="M204" s="242"/>
      <c r="N204" s="239"/>
      <c r="O204" s="6"/>
    </row>
    <row r="205" spans="1:15" ht="15.6" x14ac:dyDescent="0.3">
      <c r="A205" s="224"/>
      <c r="B205" s="220" t="s">
        <v>116</v>
      </c>
      <c r="C205" s="231"/>
      <c r="D205" s="231"/>
      <c r="E205" s="220"/>
      <c r="F205" s="231"/>
      <c r="G205" s="217"/>
      <c r="H205" s="231"/>
      <c r="I205" s="220">
        <v>2058</v>
      </c>
      <c r="J205" s="232">
        <f>I205/I213</f>
        <v>0.87425658453695831</v>
      </c>
      <c r="K205" s="221">
        <v>37664</v>
      </c>
      <c r="L205" s="232">
        <f>K205/K213</f>
        <v>0.86128515892979651</v>
      </c>
      <c r="M205" s="228"/>
      <c r="N205" s="218"/>
      <c r="O205" s="6"/>
    </row>
    <row r="206" spans="1:15" ht="15.6" x14ac:dyDescent="0.3">
      <c r="A206" s="255"/>
      <c r="B206" s="256" t="s">
        <v>117</v>
      </c>
      <c r="C206" s="257"/>
      <c r="D206" s="257"/>
      <c r="E206" s="256"/>
      <c r="F206" s="257"/>
      <c r="G206" s="258"/>
      <c r="H206" s="259"/>
      <c r="I206" s="256">
        <v>58</v>
      </c>
      <c r="J206" s="259">
        <f>I206/I213</f>
        <v>2.4638912489379779E-2</v>
      </c>
      <c r="K206" s="260">
        <v>1038</v>
      </c>
      <c r="L206" s="259">
        <f>K206/K213</f>
        <v>2.3736565286988337E-2</v>
      </c>
      <c r="M206" s="261"/>
      <c r="N206" s="263"/>
      <c r="O206" s="6"/>
    </row>
    <row r="207" spans="1:15" ht="15.6" x14ac:dyDescent="0.3">
      <c r="A207" s="255"/>
      <c r="B207" s="256" t="s">
        <v>118</v>
      </c>
      <c r="C207" s="257"/>
      <c r="D207" s="257"/>
      <c r="E207" s="256"/>
      <c r="F207" s="257"/>
      <c r="G207" s="256"/>
      <c r="H207" s="259"/>
      <c r="I207" s="256">
        <v>37</v>
      </c>
      <c r="J207" s="259">
        <f>I207/I213</f>
        <v>1.5717926932880204E-2</v>
      </c>
      <c r="K207" s="260">
        <v>635</v>
      </c>
      <c r="L207" s="259">
        <f>K207/K213</f>
        <v>1.452092385090327E-2</v>
      </c>
      <c r="M207" s="374"/>
      <c r="N207" s="263"/>
      <c r="O207" s="6"/>
    </row>
    <row r="208" spans="1:15" ht="15.6" x14ac:dyDescent="0.3">
      <c r="A208" s="255"/>
      <c r="B208" s="256" t="s">
        <v>167</v>
      </c>
      <c r="C208" s="257"/>
      <c r="D208" s="257"/>
      <c r="E208" s="256"/>
      <c r="F208" s="257"/>
      <c r="G208" s="256"/>
      <c r="H208" s="259"/>
      <c r="I208" s="256">
        <v>25</v>
      </c>
      <c r="J208" s="259">
        <f>I208/I213</f>
        <v>1.0620220900594732E-2</v>
      </c>
      <c r="K208" s="260">
        <v>452</v>
      </c>
      <c r="L208" s="259">
        <f>K208/K213</f>
        <v>1.0336153670249256E-2</v>
      </c>
      <c r="M208" s="374"/>
      <c r="N208" s="263"/>
      <c r="O208" s="6"/>
    </row>
    <row r="209" spans="1:15" ht="15.6" x14ac:dyDescent="0.3">
      <c r="A209" s="255"/>
      <c r="B209" s="256" t="s">
        <v>168</v>
      </c>
      <c r="C209" s="257"/>
      <c r="D209" s="257"/>
      <c r="E209" s="256"/>
      <c r="F209" s="257"/>
      <c r="G209" s="258"/>
      <c r="H209" s="259"/>
      <c r="I209" s="256">
        <v>27</v>
      </c>
      <c r="J209" s="259">
        <f>I209/I213</f>
        <v>1.1469838572642312E-2</v>
      </c>
      <c r="K209" s="260">
        <v>587</v>
      </c>
      <c r="L209" s="259">
        <f>K209/K213</f>
        <v>1.3423279213354676E-2</v>
      </c>
      <c r="M209" s="374"/>
      <c r="N209" s="263"/>
      <c r="O209" s="6"/>
    </row>
    <row r="210" spans="1:15" ht="15.6" x14ac:dyDescent="0.3">
      <c r="A210" s="255"/>
      <c r="B210" s="256" t="s">
        <v>169</v>
      </c>
      <c r="C210" s="257"/>
      <c r="D210" s="257"/>
      <c r="E210" s="256"/>
      <c r="F210" s="257"/>
      <c r="G210" s="258"/>
      <c r="H210" s="259"/>
      <c r="I210" s="256">
        <v>26</v>
      </c>
      <c r="J210" s="259">
        <f>I210/I213</f>
        <v>1.1045029736618521E-2</v>
      </c>
      <c r="K210" s="260">
        <v>499</v>
      </c>
      <c r="L210" s="259">
        <f>K210/K213</f>
        <v>1.1410930711182255E-2</v>
      </c>
      <c r="M210" s="374"/>
      <c r="N210" s="262"/>
      <c r="O210" s="6"/>
    </row>
    <row r="211" spans="1:15" ht="15.6" x14ac:dyDescent="0.3">
      <c r="A211" s="255"/>
      <c r="B211" s="256" t="s">
        <v>176</v>
      </c>
      <c r="C211" s="257"/>
      <c r="D211" s="257"/>
      <c r="E211" s="256"/>
      <c r="F211" s="257"/>
      <c r="G211" s="258"/>
      <c r="H211" s="259"/>
      <c r="I211" s="256">
        <v>68</v>
      </c>
      <c r="J211" s="259">
        <f>I211/I213</f>
        <v>2.8887000849617671E-2</v>
      </c>
      <c r="K211" s="260">
        <v>1694</v>
      </c>
      <c r="L211" s="259">
        <f>K211/K213</f>
        <v>3.8737708666819116E-2</v>
      </c>
      <c r="M211" s="261"/>
      <c r="N211" s="263"/>
      <c r="O211" s="6"/>
    </row>
    <row r="212" spans="1:15" ht="15.6" x14ac:dyDescent="0.3">
      <c r="A212" s="255"/>
      <c r="B212" s="256" t="s">
        <v>202</v>
      </c>
      <c r="C212" s="257"/>
      <c r="D212" s="257"/>
      <c r="E212" s="256"/>
      <c r="F212" s="257"/>
      <c r="G212" s="258"/>
      <c r="H212" s="259"/>
      <c r="I212" s="256">
        <v>55</v>
      </c>
      <c r="J212" s="259">
        <f>+I212/I213</f>
        <v>2.336448598130841E-2</v>
      </c>
      <c r="K212" s="260">
        <v>1161</v>
      </c>
      <c r="L212" s="259">
        <f>+K212/K213</f>
        <v>2.654927967070661E-2</v>
      </c>
      <c r="M212" s="261"/>
      <c r="N212" s="263"/>
      <c r="O212" s="6"/>
    </row>
    <row r="213" spans="1:15" ht="15.6" x14ac:dyDescent="0.3">
      <c r="A213" s="255"/>
      <c r="B213" s="258" t="s">
        <v>189</v>
      </c>
      <c r="C213" s="258"/>
      <c r="D213" s="258"/>
      <c r="E213" s="258"/>
      <c r="F213" s="258"/>
      <c r="G213" s="256"/>
      <c r="H213" s="258"/>
      <c r="I213" s="256">
        <f>SUM(I205:I212)</f>
        <v>2354</v>
      </c>
      <c r="J213" s="259">
        <f>SUM(J205:J212)</f>
        <v>0.99999999999999989</v>
      </c>
      <c r="K213" s="260">
        <f>SUM(K205:K212)</f>
        <v>43730</v>
      </c>
      <c r="L213" s="259">
        <f>SUM(L205:L212)</f>
        <v>1</v>
      </c>
      <c r="M213" s="258"/>
      <c r="N213" s="264"/>
      <c r="O213" s="6"/>
    </row>
    <row r="214" spans="1:15" ht="15.6" x14ac:dyDescent="0.3">
      <c r="A214" s="255"/>
      <c r="B214" s="256" t="s">
        <v>170</v>
      </c>
      <c r="C214" s="257"/>
      <c r="D214" s="257"/>
      <c r="E214" s="256"/>
      <c r="F214" s="257"/>
      <c r="G214" s="256"/>
      <c r="H214" s="259"/>
      <c r="I214" s="256">
        <v>272</v>
      </c>
      <c r="J214" s="259"/>
      <c r="K214" s="260">
        <v>7305</v>
      </c>
      <c r="L214" s="259"/>
      <c r="M214" s="258"/>
      <c r="N214" s="264"/>
      <c r="O214" s="6"/>
    </row>
    <row r="215" spans="1:15" ht="15.6" x14ac:dyDescent="0.3">
      <c r="A215" s="255"/>
      <c r="B215" s="258"/>
      <c r="C215" s="258"/>
      <c r="D215" s="258"/>
      <c r="E215" s="258"/>
      <c r="F215" s="258"/>
      <c r="G215" s="258"/>
      <c r="H215" s="256"/>
      <c r="I215" s="256"/>
      <c r="J215" s="259"/>
      <c r="K215" s="260"/>
      <c r="L215" s="259"/>
      <c r="M215" s="258"/>
      <c r="N215" s="264"/>
      <c r="O215" s="6"/>
    </row>
    <row r="216" spans="1:15" ht="15.6" x14ac:dyDescent="0.3">
      <c r="A216" s="255"/>
      <c r="B216" s="258" t="s">
        <v>232</v>
      </c>
      <c r="C216" s="258"/>
      <c r="D216" s="258"/>
      <c r="E216" s="258"/>
      <c r="F216" s="258"/>
      <c r="G216" s="258"/>
      <c r="H216" s="258"/>
      <c r="I216" s="256"/>
      <c r="J216" s="259">
        <v>1.1528</v>
      </c>
      <c r="K216" s="260"/>
      <c r="L216" s="259"/>
      <c r="M216" s="258"/>
      <c r="N216" s="264"/>
      <c r="O216" s="6"/>
    </row>
    <row r="217" spans="1:15" ht="15.6" x14ac:dyDescent="0.3">
      <c r="A217" s="250"/>
      <c r="B217" s="251"/>
      <c r="C217" s="251"/>
      <c r="D217" s="251"/>
      <c r="E217" s="251"/>
      <c r="F217" s="251"/>
      <c r="G217" s="251"/>
      <c r="H217" s="251"/>
      <c r="I217" s="252"/>
      <c r="J217" s="253"/>
      <c r="K217" s="254"/>
      <c r="L217" s="253"/>
      <c r="M217" s="251"/>
      <c r="N217" s="251"/>
      <c r="O217" s="6"/>
    </row>
    <row r="218" spans="1:15" ht="15.6" x14ac:dyDescent="0.3">
      <c r="A218" s="233"/>
      <c r="B218" s="208" t="s">
        <v>215</v>
      </c>
      <c r="C218" s="209"/>
      <c r="D218" s="209"/>
      <c r="E218" s="209"/>
      <c r="F218" s="211" t="s">
        <v>216</v>
      </c>
      <c r="G218" s="209"/>
      <c r="H218" s="208" t="s">
        <v>217</v>
      </c>
      <c r="I218" s="234"/>
      <c r="J218" s="216"/>
      <c r="K218" s="234"/>
      <c r="L218" s="216"/>
      <c r="M218" s="216"/>
      <c r="N218" s="216"/>
      <c r="O218" s="6"/>
    </row>
    <row r="219" spans="1:15" ht="15.6" x14ac:dyDescent="0.3">
      <c r="A219" s="233"/>
      <c r="B219" s="216"/>
      <c r="C219" s="209"/>
      <c r="D219" s="209"/>
      <c r="E219" s="209"/>
      <c r="F219" s="209"/>
      <c r="G219" s="209"/>
      <c r="H219" s="209"/>
      <c r="I219" s="216"/>
      <c r="J219" s="216"/>
      <c r="K219" s="216"/>
      <c r="L219" s="216"/>
      <c r="M219" s="216"/>
      <c r="N219" s="216"/>
      <c r="O219" s="6"/>
    </row>
    <row r="220" spans="1:15" ht="15.6" x14ac:dyDescent="0.3">
      <c r="A220" s="233"/>
      <c r="B220" s="208" t="s">
        <v>262</v>
      </c>
      <c r="C220" s="208"/>
      <c r="D220" s="208"/>
      <c r="E220" s="208"/>
      <c r="F220" s="235" t="s">
        <v>222</v>
      </c>
      <c r="G220" s="208"/>
      <c r="H220" s="208" t="s">
        <v>223</v>
      </c>
      <c r="I220" s="216"/>
      <c r="J220" s="216"/>
      <c r="K220" s="216"/>
      <c r="L220" s="216"/>
      <c r="M220" s="216"/>
      <c r="N220" s="216"/>
      <c r="O220" s="6"/>
    </row>
    <row r="221" spans="1:15" ht="15.6" x14ac:dyDescent="0.3">
      <c r="A221" s="233"/>
      <c r="B221" s="208" t="s">
        <v>263</v>
      </c>
      <c r="C221" s="208"/>
      <c r="D221" s="208"/>
      <c r="E221" s="208"/>
      <c r="F221" s="235" t="s">
        <v>225</v>
      </c>
      <c r="G221" s="208"/>
      <c r="H221" s="208" t="s">
        <v>226</v>
      </c>
      <c r="I221" s="216"/>
      <c r="J221" s="216"/>
      <c r="K221" s="216"/>
      <c r="L221" s="216"/>
      <c r="M221" s="216"/>
      <c r="N221" s="216"/>
      <c r="O221" s="6"/>
    </row>
    <row r="222" spans="1:15" ht="15.6" x14ac:dyDescent="0.3">
      <c r="A222" s="233"/>
      <c r="B222" s="208"/>
      <c r="C222" s="236"/>
      <c r="D222" s="236"/>
      <c r="E222" s="211"/>
      <c r="F222" s="208"/>
      <c r="G222" s="208"/>
      <c r="H222" s="236"/>
      <c r="I222" s="236"/>
      <c r="J222" s="216"/>
      <c r="K222" s="216"/>
      <c r="L222" s="216"/>
      <c r="M222" s="216"/>
      <c r="N222" s="216"/>
      <c r="O222" s="6"/>
    </row>
    <row r="223" spans="1:15" ht="18" thickBot="1" x14ac:dyDescent="0.35">
      <c r="A223" s="233"/>
      <c r="B223" s="237" t="str">
        <f>B170</f>
        <v>PSF1 INVESTOR REPORT QUARTER ENDING JULY 2017</v>
      </c>
      <c r="C223" s="236"/>
      <c r="D223" s="236"/>
      <c r="E223" s="211"/>
      <c r="F223" s="208"/>
      <c r="G223" s="208"/>
      <c r="H223" s="236"/>
      <c r="I223" s="236"/>
      <c r="J223" s="216"/>
      <c r="K223" s="216"/>
      <c r="L223" s="216"/>
      <c r="M223" s="216"/>
      <c r="N223" s="216"/>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hyperlinks>
    <hyperlink ref="I10" r:id="rId1" xr:uid="{00000000-0004-0000-3100-000000000000}"/>
    <hyperlink ref="K202" r:id="rId2" xr:uid="{00000000-0004-0000-31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4" max="14" man="1"/>
    <brk id="170" max="14" man="1"/>
  </rowBreaks>
  <colBreaks count="1" manualBreakCount="1">
    <brk id="14" max="224" man="1"/>
  </colBreak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89CB31"/>
  </sheetPr>
  <dimension ref="A1:P226"/>
  <sheetViews>
    <sheetView showOutlineSymbols="0" zoomScale="70" zoomScaleNormal="70" workbookViewId="0"/>
  </sheetViews>
  <sheetFormatPr defaultColWidth="9.81640625" defaultRowHeight="15.6" x14ac:dyDescent="0.3"/>
  <cols>
    <col min="1" max="1" width="4.81640625" style="388" customWidth="1"/>
    <col min="2" max="2" width="64.81640625" style="388" customWidth="1"/>
    <col min="3" max="3" width="15.453125" style="388" customWidth="1"/>
    <col min="4" max="4" width="10.81640625" style="388" customWidth="1"/>
    <col min="5" max="5" width="13.81640625" style="388" customWidth="1"/>
    <col min="6" max="6" width="8.08984375" style="388" customWidth="1"/>
    <col min="7" max="7" width="15.81640625" style="388" customWidth="1"/>
    <col min="8" max="8" width="8.1796875" style="388" customWidth="1"/>
    <col min="9" max="9" width="19.453125" style="388" customWidth="1"/>
    <col min="10" max="10" width="9.81640625" style="388" customWidth="1"/>
    <col min="11" max="11" width="18.81640625" style="388" customWidth="1"/>
    <col min="12" max="12" width="7.453125" style="388" customWidth="1"/>
    <col min="13" max="13" width="14.81640625" style="388" customWidth="1"/>
    <col min="14" max="14" width="23.453125" style="388" customWidth="1"/>
    <col min="15" max="16384" width="9.81640625" style="388"/>
  </cols>
  <sheetData>
    <row r="1" spans="1:15" ht="21" x14ac:dyDescent="0.4">
      <c r="A1" s="383"/>
      <c r="B1" s="384" t="s">
        <v>148</v>
      </c>
      <c r="C1" s="385"/>
      <c r="D1" s="385"/>
      <c r="E1" s="386"/>
      <c r="F1" s="386"/>
      <c r="G1" s="386"/>
      <c r="H1" s="386"/>
      <c r="I1" s="386"/>
      <c r="J1" s="386"/>
      <c r="K1" s="386"/>
      <c r="L1" s="386"/>
      <c r="M1" s="386"/>
      <c r="N1" s="590"/>
      <c r="O1" s="387"/>
    </row>
    <row r="2" spans="1:15" x14ac:dyDescent="0.3">
      <c r="A2" s="389"/>
      <c r="B2" s="390"/>
      <c r="C2" s="390"/>
      <c r="D2" s="390"/>
      <c r="E2" s="391"/>
      <c r="F2" s="391"/>
      <c r="G2" s="391"/>
      <c r="H2" s="391"/>
      <c r="I2" s="391"/>
      <c r="J2" s="391"/>
      <c r="K2" s="391"/>
      <c r="L2" s="391"/>
      <c r="M2" s="391"/>
      <c r="N2" s="591"/>
      <c r="O2" s="387"/>
    </row>
    <row r="3" spans="1:15" x14ac:dyDescent="0.3">
      <c r="A3" s="392"/>
      <c r="B3" s="393" t="s">
        <v>149</v>
      </c>
      <c r="C3" s="391"/>
      <c r="D3" s="391"/>
      <c r="E3" s="391"/>
      <c r="F3" s="391"/>
      <c r="G3" s="391"/>
      <c r="H3" s="391"/>
      <c r="I3" s="391"/>
      <c r="J3" s="391"/>
      <c r="K3" s="391"/>
      <c r="L3" s="391"/>
      <c r="M3" s="391"/>
      <c r="N3" s="591"/>
      <c r="O3" s="387"/>
    </row>
    <row r="4" spans="1:15" x14ac:dyDescent="0.3">
      <c r="A4" s="389"/>
      <c r="B4" s="390"/>
      <c r="C4" s="390"/>
      <c r="D4" s="390"/>
      <c r="E4" s="391"/>
      <c r="F4" s="391"/>
      <c r="G4" s="391"/>
      <c r="H4" s="391"/>
      <c r="I4" s="391"/>
      <c r="J4" s="391"/>
      <c r="K4" s="391"/>
      <c r="L4" s="391"/>
      <c r="M4" s="391"/>
      <c r="N4" s="591"/>
      <c r="O4" s="387"/>
    </row>
    <row r="5" spans="1:15" x14ac:dyDescent="0.3">
      <c r="A5" s="389"/>
      <c r="B5" s="394" t="s">
        <v>0</v>
      </c>
      <c r="C5" s="395"/>
      <c r="D5" s="395"/>
      <c r="E5" s="391"/>
      <c r="F5" s="391"/>
      <c r="G5" s="391"/>
      <c r="H5" s="391"/>
      <c r="I5" s="391"/>
      <c r="J5" s="391"/>
      <c r="K5" s="391"/>
      <c r="L5" s="391"/>
      <c r="M5" s="391"/>
      <c r="N5" s="591"/>
      <c r="O5" s="387"/>
    </row>
    <row r="6" spans="1:15" x14ac:dyDescent="0.3">
      <c r="A6" s="389"/>
      <c r="B6" s="394" t="s">
        <v>1</v>
      </c>
      <c r="C6" s="395"/>
      <c r="D6" s="395"/>
      <c r="E6" s="391"/>
      <c r="F6" s="391"/>
      <c r="G6" s="391"/>
      <c r="H6" s="391"/>
      <c r="I6" s="391"/>
      <c r="J6" s="391"/>
      <c r="K6" s="391"/>
      <c r="L6" s="391"/>
      <c r="M6" s="391"/>
      <c r="N6" s="591"/>
      <c r="O6" s="387"/>
    </row>
    <row r="7" spans="1:15" x14ac:dyDescent="0.3">
      <c r="A7" s="389"/>
      <c r="B7" s="394" t="s">
        <v>2</v>
      </c>
      <c r="C7" s="395"/>
      <c r="D7" s="395"/>
      <c r="E7" s="391"/>
      <c r="F7" s="391"/>
      <c r="G7" s="391"/>
      <c r="H7" s="391"/>
      <c r="I7" s="391"/>
      <c r="J7" s="391"/>
      <c r="K7" s="391"/>
      <c r="L7" s="391"/>
      <c r="M7" s="391"/>
      <c r="N7" s="591"/>
      <c r="O7" s="387"/>
    </row>
    <row r="8" spans="1:15" x14ac:dyDescent="0.3">
      <c r="A8" s="389"/>
      <c r="B8" s="394" t="s">
        <v>3</v>
      </c>
      <c r="C8" s="395"/>
      <c r="D8" s="395"/>
      <c r="E8" s="391"/>
      <c r="F8" s="391"/>
      <c r="G8" s="391"/>
      <c r="H8" s="391"/>
      <c r="I8" s="391"/>
      <c r="J8" s="391"/>
      <c r="K8" s="391"/>
      <c r="L8" s="391"/>
      <c r="M8" s="391"/>
      <c r="N8" s="591"/>
      <c r="O8" s="387"/>
    </row>
    <row r="9" spans="1:15" x14ac:dyDescent="0.3">
      <c r="A9" s="389"/>
      <c r="B9" s="391"/>
      <c r="C9" s="395"/>
      <c r="D9" s="395"/>
      <c r="E9" s="391"/>
      <c r="F9" s="391"/>
      <c r="G9" s="391"/>
      <c r="H9" s="391"/>
      <c r="I9" s="391"/>
      <c r="J9" s="391"/>
      <c r="K9" s="391"/>
      <c r="L9" s="391"/>
      <c r="M9" s="391"/>
      <c r="N9" s="591"/>
      <c r="O9" s="387"/>
    </row>
    <row r="10" spans="1:15" ht="18" x14ac:dyDescent="0.35">
      <c r="A10" s="389"/>
      <c r="B10" s="396" t="s">
        <v>198</v>
      </c>
      <c r="C10" s="395"/>
      <c r="D10" s="395"/>
      <c r="E10" s="391"/>
      <c r="F10" s="391"/>
      <c r="G10" s="391"/>
      <c r="H10" s="391"/>
      <c r="I10" s="397" t="s">
        <v>286</v>
      </c>
      <c r="J10" s="391"/>
      <c r="K10" s="391"/>
      <c r="L10" s="391"/>
      <c r="M10" s="391"/>
      <c r="N10" s="591"/>
      <c r="O10" s="387"/>
    </row>
    <row r="11" spans="1:15" x14ac:dyDescent="0.3">
      <c r="A11" s="389"/>
      <c r="B11" s="398"/>
      <c r="C11" s="395"/>
      <c r="D11" s="395"/>
      <c r="E11" s="399"/>
      <c r="F11" s="399"/>
      <c r="G11" s="391"/>
      <c r="H11" s="391"/>
      <c r="I11" s="391"/>
      <c r="J11" s="391"/>
      <c r="K11" s="391"/>
      <c r="L11" s="391"/>
      <c r="M11" s="391"/>
      <c r="N11" s="591"/>
      <c r="O11" s="387"/>
    </row>
    <row r="12" spans="1:15" x14ac:dyDescent="0.3">
      <c r="A12" s="389"/>
      <c r="B12" s="400" t="s">
        <v>4</v>
      </c>
      <c r="C12" s="400"/>
      <c r="D12" s="400"/>
      <c r="E12" s="401"/>
      <c r="F12" s="401"/>
      <c r="G12" s="401"/>
      <c r="H12" s="401"/>
      <c r="I12" s="401"/>
      <c r="J12" s="401"/>
      <c r="K12" s="401"/>
      <c r="L12" s="401"/>
      <c r="M12" s="401"/>
      <c r="N12" s="591"/>
      <c r="O12" s="387"/>
    </row>
    <row r="13" spans="1:15" ht="16.2" thickBot="1" x14ac:dyDescent="0.35">
      <c r="A13" s="389"/>
      <c r="B13" s="400"/>
      <c r="C13" s="400"/>
      <c r="D13" s="400"/>
      <c r="E13" s="401"/>
      <c r="F13" s="401"/>
      <c r="G13" s="401"/>
      <c r="H13" s="401"/>
      <c r="I13" s="401"/>
      <c r="J13" s="401"/>
      <c r="K13" s="401"/>
      <c r="L13" s="401"/>
      <c r="M13" s="401"/>
      <c r="N13" s="591"/>
      <c r="O13" s="387"/>
    </row>
    <row r="14" spans="1:15" x14ac:dyDescent="0.3">
      <c r="A14" s="383"/>
      <c r="B14" s="402"/>
      <c r="C14" s="402"/>
      <c r="D14" s="402"/>
      <c r="E14" s="402"/>
      <c r="F14" s="402"/>
      <c r="G14" s="402"/>
      <c r="H14" s="402"/>
      <c r="I14" s="402"/>
      <c r="J14" s="402"/>
      <c r="K14" s="402"/>
      <c r="L14" s="402"/>
      <c r="M14" s="402"/>
      <c r="N14" s="590"/>
      <c r="O14" s="387"/>
    </row>
    <row r="15" spans="1:15" x14ac:dyDescent="0.3">
      <c r="A15" s="389"/>
      <c r="B15" s="400" t="s">
        <v>5</v>
      </c>
      <c r="C15" s="400"/>
      <c r="D15" s="400"/>
      <c r="E15" s="401"/>
      <c r="F15" s="401"/>
      <c r="G15" s="401"/>
      <c r="H15" s="401"/>
      <c r="I15" s="401"/>
      <c r="J15" s="401"/>
      <c r="K15" s="401"/>
      <c r="L15" s="401"/>
      <c r="M15" s="403" t="s">
        <v>151</v>
      </c>
      <c r="N15" s="592"/>
      <c r="O15" s="387"/>
    </row>
    <row r="16" spans="1:15" x14ac:dyDescent="0.3">
      <c r="A16" s="389"/>
      <c r="B16" s="400" t="s">
        <v>6</v>
      </c>
      <c r="C16" s="400"/>
      <c r="D16" s="400"/>
      <c r="E16" s="401"/>
      <c r="F16" s="401"/>
      <c r="G16" s="401"/>
      <c r="H16" s="401"/>
      <c r="I16" s="404"/>
      <c r="J16" s="405"/>
      <c r="K16" s="404" t="s">
        <v>150</v>
      </c>
      <c r="L16" s="405">
        <v>1</v>
      </c>
      <c r="M16" s="403"/>
      <c r="N16" s="592"/>
      <c r="O16" s="387"/>
    </row>
    <row r="17" spans="1:15" x14ac:dyDescent="0.3">
      <c r="A17" s="389"/>
      <c r="B17" s="400" t="s">
        <v>7</v>
      </c>
      <c r="C17" s="400"/>
      <c r="D17" s="400"/>
      <c r="E17" s="401"/>
      <c r="F17" s="401"/>
      <c r="G17" s="401"/>
      <c r="H17" s="401"/>
      <c r="I17" s="404"/>
      <c r="J17" s="405"/>
      <c r="K17" s="404" t="s">
        <v>150</v>
      </c>
      <c r="L17" s="405">
        <v>1</v>
      </c>
      <c r="M17" s="403"/>
      <c r="N17" s="592"/>
      <c r="O17" s="387"/>
    </row>
    <row r="18" spans="1:15" x14ac:dyDescent="0.3">
      <c r="A18" s="389"/>
      <c r="B18" s="400" t="s">
        <v>8</v>
      </c>
      <c r="C18" s="400"/>
      <c r="D18" s="400"/>
      <c r="E18" s="401"/>
      <c r="F18" s="401"/>
      <c r="G18" s="401"/>
      <c r="H18" s="401"/>
      <c r="I18" s="401"/>
      <c r="J18" s="401"/>
      <c r="K18" s="401"/>
      <c r="L18" s="401"/>
      <c r="M18" s="406">
        <v>38336</v>
      </c>
      <c r="N18" s="592"/>
      <c r="O18" s="387"/>
    </row>
    <row r="19" spans="1:15" x14ac:dyDescent="0.3">
      <c r="A19" s="389"/>
      <c r="B19" s="400" t="s">
        <v>9</v>
      </c>
      <c r="C19" s="400"/>
      <c r="D19" s="400"/>
      <c r="E19" s="401"/>
      <c r="F19" s="401"/>
      <c r="G19" s="401"/>
      <c r="H19" s="401"/>
      <c r="I19" s="401"/>
      <c r="J19" s="401"/>
      <c r="K19" s="401"/>
      <c r="L19" s="401"/>
      <c r="M19" s="406">
        <v>43055</v>
      </c>
      <c r="N19" s="592"/>
      <c r="O19" s="387"/>
    </row>
    <row r="20" spans="1:15" x14ac:dyDescent="0.3">
      <c r="A20" s="389"/>
      <c r="B20" s="401"/>
      <c r="C20" s="401"/>
      <c r="D20" s="401"/>
      <c r="E20" s="401"/>
      <c r="F20" s="401"/>
      <c r="G20" s="401"/>
      <c r="H20" s="401"/>
      <c r="I20" s="401"/>
      <c r="J20" s="401"/>
      <c r="K20" s="401"/>
      <c r="L20" s="401"/>
      <c r="M20" s="407"/>
      <c r="N20" s="591"/>
      <c r="O20" s="387"/>
    </row>
    <row r="21" spans="1:15" x14ac:dyDescent="0.3">
      <c r="A21" s="389"/>
      <c r="B21" s="408" t="s">
        <v>10</v>
      </c>
      <c r="C21" s="401"/>
      <c r="D21" s="401"/>
      <c r="E21" s="401"/>
      <c r="F21" s="401"/>
      <c r="G21" s="401"/>
      <c r="H21" s="401"/>
      <c r="I21" s="401"/>
      <c r="J21" s="401"/>
      <c r="K21" s="407" t="s">
        <v>130</v>
      </c>
      <c r="L21" s="401"/>
      <c r="M21" s="401"/>
      <c r="N21" s="591"/>
      <c r="O21" s="387"/>
    </row>
    <row r="22" spans="1:15" x14ac:dyDescent="0.3">
      <c r="A22" s="389"/>
      <c r="B22" s="391"/>
      <c r="C22" s="391"/>
      <c r="D22" s="391"/>
      <c r="E22" s="391"/>
      <c r="F22" s="391"/>
      <c r="G22" s="391"/>
      <c r="H22" s="391"/>
      <c r="I22" s="391"/>
      <c r="J22" s="391"/>
      <c r="K22" s="391"/>
      <c r="L22" s="391"/>
      <c r="M22" s="409"/>
      <c r="N22" s="591"/>
      <c r="O22" s="387"/>
    </row>
    <row r="23" spans="1:15" x14ac:dyDescent="0.3">
      <c r="A23" s="410"/>
      <c r="B23" s="576"/>
      <c r="C23" s="577" t="s">
        <v>131</v>
      </c>
      <c r="D23" s="577"/>
      <c r="E23" s="577" t="s">
        <v>124</v>
      </c>
      <c r="F23" s="577"/>
      <c r="G23" s="577" t="s">
        <v>152</v>
      </c>
      <c r="H23" s="577"/>
      <c r="I23" s="577"/>
      <c r="J23" s="578"/>
      <c r="K23" s="578"/>
      <c r="L23" s="576"/>
      <c r="M23" s="576"/>
      <c r="N23" s="579"/>
      <c r="O23" s="387"/>
    </row>
    <row r="24" spans="1:15" x14ac:dyDescent="0.3">
      <c r="A24" s="570"/>
      <c r="B24" s="571" t="s">
        <v>156</v>
      </c>
      <c r="C24" s="572" t="s">
        <v>121</v>
      </c>
      <c r="D24" s="572"/>
      <c r="E24" s="572" t="s">
        <v>125</v>
      </c>
      <c r="F24" s="572"/>
      <c r="G24" s="572" t="s">
        <v>158</v>
      </c>
      <c r="H24" s="573"/>
      <c r="I24" s="573"/>
      <c r="J24" s="573"/>
      <c r="K24" s="573"/>
      <c r="L24" s="574"/>
      <c r="M24" s="574"/>
      <c r="N24" s="575"/>
      <c r="O24" s="387"/>
    </row>
    <row r="25" spans="1:15" x14ac:dyDescent="0.3">
      <c r="A25" s="412"/>
      <c r="B25" s="413" t="s">
        <v>11</v>
      </c>
      <c r="C25" s="414" t="s">
        <v>121</v>
      </c>
      <c r="D25" s="414"/>
      <c r="E25" s="414" t="s">
        <v>125</v>
      </c>
      <c r="F25" s="414"/>
      <c r="G25" s="414" t="s">
        <v>158</v>
      </c>
      <c r="H25" s="415"/>
      <c r="I25" s="415"/>
      <c r="J25" s="415"/>
      <c r="K25" s="415"/>
      <c r="L25" s="416"/>
      <c r="M25" s="416"/>
      <c r="N25" s="417"/>
      <c r="O25" s="387"/>
    </row>
    <row r="26" spans="1:15" x14ac:dyDescent="0.3">
      <c r="A26" s="418"/>
      <c r="B26" s="419" t="s">
        <v>157</v>
      </c>
      <c r="C26" s="420" t="s">
        <v>121</v>
      </c>
      <c r="D26" s="420"/>
      <c r="E26" s="420" t="s">
        <v>277</v>
      </c>
      <c r="F26" s="420"/>
      <c r="G26" s="420" t="s">
        <v>278</v>
      </c>
      <c r="H26" s="421"/>
      <c r="I26" s="421"/>
      <c r="J26" s="415"/>
      <c r="K26" s="415"/>
      <c r="L26" s="416"/>
      <c r="M26" s="416"/>
      <c r="N26" s="417"/>
      <c r="O26" s="387"/>
    </row>
    <row r="27" spans="1:15" x14ac:dyDescent="0.3">
      <c r="A27" s="418"/>
      <c r="B27" s="419" t="s">
        <v>12</v>
      </c>
      <c r="C27" s="420" t="s">
        <v>121</v>
      </c>
      <c r="D27" s="420"/>
      <c r="E27" s="420" t="s">
        <v>283</v>
      </c>
      <c r="F27" s="420"/>
      <c r="G27" s="420" t="s">
        <v>284</v>
      </c>
      <c r="H27" s="421"/>
      <c r="I27" s="421"/>
      <c r="J27" s="415"/>
      <c r="K27" s="415"/>
      <c r="L27" s="416"/>
      <c r="M27" s="416"/>
      <c r="N27" s="417"/>
      <c r="O27" s="387"/>
    </row>
    <row r="28" spans="1:15" x14ac:dyDescent="0.3">
      <c r="A28" s="412"/>
      <c r="B28" s="413" t="s">
        <v>13</v>
      </c>
      <c r="C28" s="422" t="s">
        <v>153</v>
      </c>
      <c r="D28" s="414"/>
      <c r="E28" s="422" t="s">
        <v>154</v>
      </c>
      <c r="F28" s="414"/>
      <c r="G28" s="422" t="s">
        <v>155</v>
      </c>
      <c r="H28" s="415"/>
      <c r="I28" s="423"/>
      <c r="J28" s="415"/>
      <c r="K28" s="423"/>
      <c r="L28" s="416"/>
      <c r="M28" s="416"/>
      <c r="N28" s="417"/>
      <c r="O28" s="387"/>
    </row>
    <row r="29" spans="1:15" x14ac:dyDescent="0.3">
      <c r="A29" s="412"/>
      <c r="B29" s="424"/>
      <c r="C29" s="424"/>
      <c r="D29" s="425"/>
      <c r="E29" s="425"/>
      <c r="F29" s="425"/>
      <c r="G29" s="425"/>
      <c r="H29" s="415"/>
      <c r="I29" s="415"/>
      <c r="J29" s="415"/>
      <c r="K29" s="415"/>
      <c r="L29" s="416"/>
      <c r="M29" s="416"/>
      <c r="N29" s="417"/>
      <c r="O29" s="387"/>
    </row>
    <row r="30" spans="1:15" x14ac:dyDescent="0.3">
      <c r="A30" s="412"/>
      <c r="B30" s="413" t="s">
        <v>14</v>
      </c>
      <c r="C30" s="426">
        <v>231000</v>
      </c>
      <c r="D30" s="427"/>
      <c r="E30" s="426">
        <v>42000</v>
      </c>
      <c r="F30" s="426"/>
      <c r="G30" s="426">
        <v>27000</v>
      </c>
      <c r="H30" s="426"/>
      <c r="I30" s="426"/>
      <c r="J30" s="426"/>
      <c r="K30" s="426"/>
      <c r="L30" s="427"/>
      <c r="M30" s="426">
        <f>C30+E30+G30</f>
        <v>300000</v>
      </c>
      <c r="N30" s="428"/>
      <c r="O30" s="387"/>
    </row>
    <row r="31" spans="1:15" x14ac:dyDescent="0.3">
      <c r="A31" s="412"/>
      <c r="B31" s="413" t="s">
        <v>290</v>
      </c>
      <c r="C31" s="426">
        <f>C30*C34</f>
        <v>22370.086200000002</v>
      </c>
      <c r="D31" s="427"/>
      <c r="E31" s="426">
        <f>E30*E34</f>
        <v>13001.8392</v>
      </c>
      <c r="F31" s="426"/>
      <c r="G31" s="426">
        <f>G30*G34</f>
        <v>8358.3305999999993</v>
      </c>
      <c r="H31" s="426"/>
      <c r="I31" s="426"/>
      <c r="J31" s="426"/>
      <c r="K31" s="426"/>
      <c r="L31" s="427"/>
      <c r="M31" s="426">
        <f>C31+E31+G31</f>
        <v>43730.256000000001</v>
      </c>
      <c r="N31" s="428"/>
      <c r="O31" s="387"/>
    </row>
    <row r="32" spans="1:15" x14ac:dyDescent="0.3">
      <c r="A32" s="418"/>
      <c r="B32" s="419" t="s">
        <v>291</v>
      </c>
      <c r="C32" s="429">
        <f>C30*C33</f>
        <v>22213.699200000003</v>
      </c>
      <c r="D32" s="430"/>
      <c r="E32" s="429">
        <f>E30*E33</f>
        <v>11564.447999999999</v>
      </c>
      <c r="F32" s="429"/>
      <c r="G32" s="429">
        <f>G30*G33</f>
        <v>7434.2987999999996</v>
      </c>
      <c r="H32" s="429"/>
      <c r="I32" s="429"/>
      <c r="J32" s="429"/>
      <c r="K32" s="429"/>
      <c r="L32" s="430"/>
      <c r="M32" s="426">
        <f>C32+E32+G32</f>
        <v>41212.445999999996</v>
      </c>
      <c r="N32" s="428"/>
      <c r="O32" s="387"/>
    </row>
    <row r="33" spans="1:15" x14ac:dyDescent="0.3">
      <c r="A33" s="418"/>
      <c r="B33" s="431" t="s">
        <v>174</v>
      </c>
      <c r="C33" s="432">
        <v>9.6163200000000004E-2</v>
      </c>
      <c r="D33" s="433"/>
      <c r="E33" s="432">
        <v>0.27534399999999998</v>
      </c>
      <c r="F33" s="432"/>
      <c r="G33" s="432">
        <v>0.27534439999999999</v>
      </c>
      <c r="H33" s="434"/>
      <c r="I33" s="434"/>
      <c r="J33" s="435"/>
      <c r="K33" s="435"/>
      <c r="L33" s="436"/>
      <c r="M33" s="435"/>
      <c r="N33" s="428"/>
      <c r="O33" s="387"/>
    </row>
    <row r="34" spans="1:15" x14ac:dyDescent="0.3">
      <c r="A34" s="418"/>
      <c r="B34" s="431" t="s">
        <v>175</v>
      </c>
      <c r="C34" s="432">
        <v>9.6840200000000001E-2</v>
      </c>
      <c r="D34" s="433"/>
      <c r="E34" s="432">
        <v>0.3095676</v>
      </c>
      <c r="F34" s="432"/>
      <c r="G34" s="432">
        <v>0.3095678</v>
      </c>
      <c r="H34" s="434"/>
      <c r="I34" s="434"/>
      <c r="J34" s="435"/>
      <c r="K34" s="435"/>
      <c r="L34" s="436"/>
      <c r="M34" s="435"/>
      <c r="N34" s="428"/>
      <c r="O34" s="387"/>
    </row>
    <row r="35" spans="1:15" x14ac:dyDescent="0.3">
      <c r="A35" s="412"/>
      <c r="B35" s="413" t="s">
        <v>17</v>
      </c>
      <c r="C35" s="422" t="s">
        <v>164</v>
      </c>
      <c r="D35" s="413"/>
      <c r="E35" s="422" t="s">
        <v>163</v>
      </c>
      <c r="F35" s="422"/>
      <c r="G35" s="422" t="s">
        <v>162</v>
      </c>
      <c r="H35" s="422"/>
      <c r="I35" s="422"/>
      <c r="J35" s="422"/>
      <c r="K35" s="422"/>
      <c r="L35" s="413"/>
      <c r="M35" s="413"/>
      <c r="N35" s="437"/>
      <c r="O35" s="387"/>
    </row>
    <row r="36" spans="1:15" x14ac:dyDescent="0.3">
      <c r="A36" s="412"/>
      <c r="B36" s="413" t="s">
        <v>18</v>
      </c>
      <c r="C36" s="438">
        <v>6.7962999999999999E-3</v>
      </c>
      <c r="D36" s="413"/>
      <c r="E36" s="438">
        <v>1.7796300000000001E-2</v>
      </c>
      <c r="F36" s="439"/>
      <c r="G36" s="438">
        <v>2.2796299999999999E-2</v>
      </c>
      <c r="H36" s="439"/>
      <c r="I36" s="438"/>
      <c r="J36" s="439"/>
      <c r="K36" s="438"/>
      <c r="L36" s="413"/>
      <c r="M36" s="439">
        <f>SUMPRODUCT(C36:G36,C31:G31)/M31</f>
        <v>1.3124950827015511E-2</v>
      </c>
      <c r="N36" s="437"/>
      <c r="O36" s="387"/>
    </row>
    <row r="37" spans="1:15" x14ac:dyDescent="0.3">
      <c r="A37" s="412"/>
      <c r="B37" s="413" t="s">
        <v>19</v>
      </c>
      <c r="C37" s="438">
        <v>7.1525E-3</v>
      </c>
      <c r="D37" s="413"/>
      <c r="E37" s="438">
        <v>1.8152499999999998E-2</v>
      </c>
      <c r="F37" s="439"/>
      <c r="G37" s="438">
        <v>2.3152499999999999E-2</v>
      </c>
      <c r="H37" s="439"/>
      <c r="I37" s="438"/>
      <c r="J37" s="439"/>
      <c r="K37" s="438"/>
      <c r="L37" s="413"/>
      <c r="M37" s="413"/>
      <c r="N37" s="437"/>
      <c r="O37" s="387"/>
    </row>
    <row r="38" spans="1:15" x14ac:dyDescent="0.3">
      <c r="A38" s="412"/>
      <c r="B38" s="413" t="s">
        <v>20</v>
      </c>
      <c r="C38" s="440">
        <v>39767</v>
      </c>
      <c r="D38" s="440"/>
      <c r="E38" s="440">
        <v>39767</v>
      </c>
      <c r="F38" s="440"/>
      <c r="G38" s="440">
        <v>39767</v>
      </c>
      <c r="H38" s="440"/>
      <c r="I38" s="440"/>
      <c r="J38" s="422"/>
      <c r="K38" s="422"/>
      <c r="L38" s="413"/>
      <c r="M38" s="413"/>
      <c r="N38" s="437"/>
      <c r="O38" s="387"/>
    </row>
    <row r="39" spans="1:15" x14ac:dyDescent="0.3">
      <c r="A39" s="412"/>
      <c r="B39" s="413" t="s">
        <v>21</v>
      </c>
      <c r="C39" s="440">
        <v>40132</v>
      </c>
      <c r="D39" s="440"/>
      <c r="E39" s="440">
        <v>40132</v>
      </c>
      <c r="F39" s="440"/>
      <c r="G39" s="440">
        <v>40132</v>
      </c>
      <c r="H39" s="440"/>
      <c r="I39" s="440"/>
      <c r="J39" s="422"/>
      <c r="K39" s="422"/>
      <c r="L39" s="413"/>
      <c r="M39" s="413"/>
      <c r="N39" s="437"/>
      <c r="O39" s="387"/>
    </row>
    <row r="40" spans="1:15" x14ac:dyDescent="0.3">
      <c r="A40" s="412"/>
      <c r="B40" s="413" t="s">
        <v>22</v>
      </c>
      <c r="C40" s="422" t="s">
        <v>164</v>
      </c>
      <c r="D40" s="413"/>
      <c r="E40" s="422" t="s">
        <v>163</v>
      </c>
      <c r="F40" s="422"/>
      <c r="G40" s="422" t="s">
        <v>162</v>
      </c>
      <c r="H40" s="422"/>
      <c r="I40" s="422"/>
      <c r="J40" s="422"/>
      <c r="K40" s="422"/>
      <c r="L40" s="413"/>
      <c r="M40" s="413"/>
      <c r="N40" s="437"/>
      <c r="O40" s="387"/>
    </row>
    <row r="41" spans="1:15" x14ac:dyDescent="0.3">
      <c r="A41" s="412"/>
      <c r="B41" s="413"/>
      <c r="C41" s="413"/>
      <c r="D41" s="413"/>
      <c r="E41" s="438"/>
      <c r="F41" s="413"/>
      <c r="G41" s="438"/>
      <c r="H41" s="422"/>
      <c r="I41" s="422"/>
      <c r="J41" s="441"/>
      <c r="K41" s="441"/>
      <c r="L41" s="441"/>
      <c r="M41" s="441"/>
      <c r="N41" s="437"/>
      <c r="O41" s="387"/>
    </row>
    <row r="42" spans="1:15" x14ac:dyDescent="0.3">
      <c r="A42" s="412"/>
      <c r="B42" s="413" t="s">
        <v>178</v>
      </c>
      <c r="C42" s="413"/>
      <c r="D42" s="413"/>
      <c r="E42" s="442"/>
      <c r="F42" s="413"/>
      <c r="G42" s="442"/>
      <c r="H42" s="413"/>
      <c r="I42" s="442"/>
      <c r="J42" s="413"/>
      <c r="K42" s="413"/>
      <c r="L42" s="413"/>
      <c r="M42" s="439">
        <f>(E30+G30)/C30</f>
        <v>0.29870129870129869</v>
      </c>
      <c r="N42" s="437"/>
      <c r="O42" s="387"/>
    </row>
    <row r="43" spans="1:15" x14ac:dyDescent="0.3">
      <c r="A43" s="412"/>
      <c r="B43" s="413" t="s">
        <v>179</v>
      </c>
      <c r="C43" s="413"/>
      <c r="D43" s="413"/>
      <c r="E43" s="442"/>
      <c r="F43" s="413"/>
      <c r="G43" s="442"/>
      <c r="H43" s="413"/>
      <c r="I43" s="442"/>
      <c r="J43" s="413"/>
      <c r="K43" s="413"/>
      <c r="L43" s="413"/>
      <c r="M43" s="439">
        <f>(G32+E32)/C32</f>
        <v>0.85527163346121093</v>
      </c>
      <c r="N43" s="437"/>
      <c r="O43" s="387"/>
    </row>
    <row r="44" spans="1:15" x14ac:dyDescent="0.3">
      <c r="A44" s="412"/>
      <c r="B44" s="413" t="s">
        <v>23</v>
      </c>
      <c r="C44" s="413"/>
      <c r="D44" s="413"/>
      <c r="E44" s="413"/>
      <c r="F44" s="413"/>
      <c r="G44" s="413"/>
      <c r="H44" s="413"/>
      <c r="I44" s="413"/>
      <c r="J44" s="413"/>
      <c r="K44" s="422" t="s">
        <v>131</v>
      </c>
      <c r="L44" s="422" t="s">
        <v>138</v>
      </c>
      <c r="M44" s="426">
        <f>+M30/2-E30-G30</f>
        <v>81000</v>
      </c>
      <c r="N44" s="437"/>
      <c r="O44" s="387"/>
    </row>
    <row r="45" spans="1:15" x14ac:dyDescent="0.3">
      <c r="A45" s="412"/>
      <c r="B45" s="413"/>
      <c r="C45" s="413"/>
      <c r="D45" s="413"/>
      <c r="E45" s="413"/>
      <c r="F45" s="413"/>
      <c r="G45" s="413"/>
      <c r="H45" s="413"/>
      <c r="I45" s="413"/>
      <c r="J45" s="413"/>
      <c r="K45" s="413" t="s">
        <v>235</v>
      </c>
      <c r="L45" s="413"/>
      <c r="M45" s="443"/>
      <c r="N45" s="437"/>
      <c r="O45" s="387"/>
    </row>
    <row r="46" spans="1:15" x14ac:dyDescent="0.3">
      <c r="A46" s="412"/>
      <c r="B46" s="413" t="s">
        <v>24</v>
      </c>
      <c r="C46" s="413"/>
      <c r="D46" s="413"/>
      <c r="E46" s="413"/>
      <c r="F46" s="413"/>
      <c r="G46" s="413"/>
      <c r="H46" s="413"/>
      <c r="I46" s="413"/>
      <c r="J46" s="413"/>
      <c r="K46" s="422"/>
      <c r="L46" s="422"/>
      <c r="M46" s="422" t="s">
        <v>140</v>
      </c>
      <c r="N46" s="437"/>
      <c r="O46" s="387"/>
    </row>
    <row r="47" spans="1:15" x14ac:dyDescent="0.3">
      <c r="A47" s="412"/>
      <c r="B47" s="419" t="s">
        <v>25</v>
      </c>
      <c r="C47" s="419"/>
      <c r="D47" s="419"/>
      <c r="E47" s="419"/>
      <c r="F47" s="419"/>
      <c r="G47" s="419"/>
      <c r="H47" s="419"/>
      <c r="I47" s="419"/>
      <c r="J47" s="419"/>
      <c r="K47" s="444"/>
      <c r="L47" s="444"/>
      <c r="M47" s="445">
        <v>43054</v>
      </c>
      <c r="N47" s="437"/>
      <c r="O47" s="387"/>
    </row>
    <row r="48" spans="1:15" x14ac:dyDescent="0.3">
      <c r="A48" s="412"/>
      <c r="B48" s="413" t="s">
        <v>26</v>
      </c>
      <c r="C48" s="413"/>
      <c r="D48" s="413"/>
      <c r="E48" s="413"/>
      <c r="F48" s="413"/>
      <c r="G48" s="413"/>
      <c r="H48" s="413"/>
      <c r="I48" s="413"/>
      <c r="J48" s="413">
        <f>M48-K48+1</f>
        <v>92</v>
      </c>
      <c r="K48" s="446">
        <v>42870</v>
      </c>
      <c r="L48" s="447"/>
      <c r="M48" s="446">
        <v>42961</v>
      </c>
      <c r="N48" s="437"/>
      <c r="O48" s="387"/>
    </row>
    <row r="49" spans="1:15" x14ac:dyDescent="0.3">
      <c r="A49" s="412"/>
      <c r="B49" s="413" t="s">
        <v>27</v>
      </c>
      <c r="C49" s="413"/>
      <c r="D49" s="413"/>
      <c r="E49" s="413"/>
      <c r="F49" s="413"/>
      <c r="G49" s="413"/>
      <c r="H49" s="413"/>
      <c r="I49" s="413"/>
      <c r="J49" s="413">
        <f>M49-K49+1</f>
        <v>92</v>
      </c>
      <c r="K49" s="446">
        <v>42962</v>
      </c>
      <c r="L49" s="447"/>
      <c r="M49" s="446">
        <v>43053</v>
      </c>
      <c r="N49" s="437"/>
      <c r="O49" s="387"/>
    </row>
    <row r="50" spans="1:15" x14ac:dyDescent="0.3">
      <c r="A50" s="412"/>
      <c r="B50" s="413" t="s">
        <v>28</v>
      </c>
      <c r="C50" s="413"/>
      <c r="D50" s="413"/>
      <c r="E50" s="413"/>
      <c r="F50" s="413"/>
      <c r="G50" s="413"/>
      <c r="H50" s="413"/>
      <c r="I50" s="413"/>
      <c r="J50" s="413"/>
      <c r="K50" s="446"/>
      <c r="L50" s="447"/>
      <c r="M50" s="446" t="s">
        <v>141</v>
      </c>
      <c r="N50" s="437"/>
      <c r="O50" s="387"/>
    </row>
    <row r="51" spans="1:15" x14ac:dyDescent="0.3">
      <c r="A51" s="412"/>
      <c r="B51" s="413" t="s">
        <v>29</v>
      </c>
      <c r="C51" s="413"/>
      <c r="D51" s="413"/>
      <c r="E51" s="413"/>
      <c r="F51" s="413"/>
      <c r="G51" s="413"/>
      <c r="H51" s="413"/>
      <c r="I51" s="413"/>
      <c r="J51" s="413"/>
      <c r="K51" s="446"/>
      <c r="L51" s="447"/>
      <c r="M51" s="446">
        <v>43040</v>
      </c>
      <c r="N51" s="437"/>
      <c r="O51" s="387"/>
    </row>
    <row r="52" spans="1:15" x14ac:dyDescent="0.3">
      <c r="A52" s="389"/>
      <c r="B52" s="448"/>
      <c r="C52" s="448"/>
      <c r="D52" s="448"/>
      <c r="E52" s="448"/>
      <c r="F52" s="448"/>
      <c r="G52" s="448"/>
      <c r="H52" s="448"/>
      <c r="I52" s="448"/>
      <c r="J52" s="448"/>
      <c r="K52" s="449"/>
      <c r="L52" s="450"/>
      <c r="M52" s="449"/>
      <c r="N52" s="591"/>
      <c r="O52" s="387"/>
    </row>
    <row r="53" spans="1:15" x14ac:dyDescent="0.3">
      <c r="A53" s="389"/>
      <c r="B53" s="391"/>
      <c r="C53" s="391"/>
      <c r="D53" s="391"/>
      <c r="E53" s="391"/>
      <c r="F53" s="391"/>
      <c r="G53" s="391"/>
      <c r="H53" s="391"/>
      <c r="I53" s="391"/>
      <c r="J53" s="391"/>
      <c r="K53" s="451"/>
      <c r="L53" s="452"/>
      <c r="M53" s="451"/>
      <c r="N53" s="591"/>
      <c r="O53" s="387"/>
    </row>
    <row r="54" spans="1:15" ht="18.600000000000001" thickBot="1" x14ac:dyDescent="0.4">
      <c r="A54" s="453"/>
      <c r="B54" s="454" t="s">
        <v>289</v>
      </c>
      <c r="C54" s="455"/>
      <c r="D54" s="455"/>
      <c r="E54" s="455"/>
      <c r="F54" s="455"/>
      <c r="G54" s="455"/>
      <c r="H54" s="455"/>
      <c r="I54" s="455"/>
      <c r="J54" s="455"/>
      <c r="K54" s="455"/>
      <c r="L54" s="455"/>
      <c r="M54" s="456"/>
      <c r="N54" s="457"/>
      <c r="O54" s="387"/>
    </row>
    <row r="55" spans="1:15" x14ac:dyDescent="0.3">
      <c r="A55" s="410"/>
      <c r="B55" s="458" t="s">
        <v>30</v>
      </c>
      <c r="C55" s="459"/>
      <c r="D55" s="459"/>
      <c r="E55" s="411"/>
      <c r="F55" s="411"/>
      <c r="G55" s="411"/>
      <c r="H55" s="411"/>
      <c r="I55" s="411"/>
      <c r="J55" s="411"/>
      <c r="K55" s="411"/>
      <c r="L55" s="411"/>
      <c r="M55" s="460"/>
      <c r="N55" s="579"/>
      <c r="O55" s="387"/>
    </row>
    <row r="56" spans="1:15" x14ac:dyDescent="0.3">
      <c r="A56" s="389"/>
      <c r="B56" s="399"/>
      <c r="C56" s="399"/>
      <c r="D56" s="399"/>
      <c r="E56" s="391"/>
      <c r="F56" s="391"/>
      <c r="G56" s="391"/>
      <c r="H56" s="391"/>
      <c r="I56" s="391"/>
      <c r="J56" s="391"/>
      <c r="K56" s="391"/>
      <c r="L56" s="391"/>
      <c r="M56" s="461"/>
      <c r="N56" s="591"/>
      <c r="O56" s="387"/>
    </row>
    <row r="57" spans="1:15" ht="46.8" x14ac:dyDescent="0.3">
      <c r="A57" s="389"/>
      <c r="B57" s="462" t="s">
        <v>31</v>
      </c>
      <c r="C57" s="463" t="s">
        <v>119</v>
      </c>
      <c r="D57" s="463"/>
      <c r="E57" s="463" t="s">
        <v>122</v>
      </c>
      <c r="F57" s="463"/>
      <c r="G57" s="463" t="s">
        <v>123</v>
      </c>
      <c r="H57" s="463"/>
      <c r="I57" s="463" t="s">
        <v>126</v>
      </c>
      <c r="J57" s="463"/>
      <c r="K57" s="463" t="s">
        <v>132</v>
      </c>
      <c r="L57" s="463"/>
      <c r="M57" s="464" t="s">
        <v>142</v>
      </c>
      <c r="N57" s="593"/>
      <c r="O57" s="387"/>
    </row>
    <row r="58" spans="1:15" x14ac:dyDescent="0.3">
      <c r="A58" s="412"/>
      <c r="B58" s="413" t="s">
        <v>32</v>
      </c>
      <c r="C58" s="466">
        <f>240614-323</f>
        <v>240291</v>
      </c>
      <c r="D58" s="466"/>
      <c r="E58" s="467">
        <v>43730</v>
      </c>
      <c r="F58" s="466"/>
      <c r="G58" s="466">
        <v>2518</v>
      </c>
      <c r="H58" s="466"/>
      <c r="I58" s="466">
        <v>0</v>
      </c>
      <c r="J58" s="466"/>
      <c r="K58" s="466">
        <v>0</v>
      </c>
      <c r="L58" s="466"/>
      <c r="M58" s="467">
        <f>E58-G58+I58-K58</f>
        <v>41212</v>
      </c>
      <c r="N58" s="417"/>
      <c r="O58" s="387"/>
    </row>
    <row r="59" spans="1:15" x14ac:dyDescent="0.3">
      <c r="A59" s="412"/>
      <c r="B59" s="413" t="s">
        <v>33</v>
      </c>
      <c r="C59" s="466">
        <f>748-206</f>
        <v>542</v>
      </c>
      <c r="D59" s="466"/>
      <c r="E59" s="467">
        <v>0</v>
      </c>
      <c r="F59" s="466"/>
      <c r="G59" s="466">
        <v>0</v>
      </c>
      <c r="H59" s="466"/>
      <c r="I59" s="466">
        <v>0</v>
      </c>
      <c r="J59" s="466"/>
      <c r="K59" s="466">
        <v>0</v>
      </c>
      <c r="L59" s="466"/>
      <c r="M59" s="467">
        <f>E59-G59+I59-K59</f>
        <v>0</v>
      </c>
      <c r="N59" s="417"/>
      <c r="O59" s="387"/>
    </row>
    <row r="60" spans="1:15" x14ac:dyDescent="0.3">
      <c r="A60" s="412"/>
      <c r="B60" s="413"/>
      <c r="C60" s="466"/>
      <c r="D60" s="466"/>
      <c r="E60" s="467"/>
      <c r="F60" s="466"/>
      <c r="G60" s="466">
        <v>0</v>
      </c>
      <c r="H60" s="466"/>
      <c r="I60" s="466">
        <v>0</v>
      </c>
      <c r="J60" s="466"/>
      <c r="K60" s="466">
        <v>0</v>
      </c>
      <c r="L60" s="466"/>
      <c r="M60" s="467">
        <f>E60-G60+I60-K60</f>
        <v>0</v>
      </c>
      <c r="N60" s="417"/>
      <c r="O60" s="387"/>
    </row>
    <row r="61" spans="1:15" x14ac:dyDescent="0.3">
      <c r="A61" s="412"/>
      <c r="B61" s="413"/>
      <c r="C61" s="466"/>
      <c r="D61" s="466"/>
      <c r="E61" s="467"/>
      <c r="F61" s="466"/>
      <c r="G61" s="466"/>
      <c r="H61" s="466"/>
      <c r="I61" s="466"/>
      <c r="J61" s="466"/>
      <c r="K61" s="466"/>
      <c r="L61" s="466"/>
      <c r="M61" s="467"/>
      <c r="N61" s="417"/>
      <c r="O61" s="387"/>
    </row>
    <row r="62" spans="1:15" x14ac:dyDescent="0.3">
      <c r="A62" s="412"/>
      <c r="B62" s="413" t="s">
        <v>34</v>
      </c>
      <c r="C62" s="466">
        <f>SUM(C58:C61)</f>
        <v>240833</v>
      </c>
      <c r="D62" s="466"/>
      <c r="E62" s="466">
        <f>E58+E59+E60</f>
        <v>43730</v>
      </c>
      <c r="F62" s="466"/>
      <c r="G62" s="466">
        <f>SUM(G58:G61)</f>
        <v>2518</v>
      </c>
      <c r="H62" s="466"/>
      <c r="I62" s="466">
        <f>SUM(I58:I61)</f>
        <v>0</v>
      </c>
      <c r="J62" s="466"/>
      <c r="K62" s="466">
        <f>SUM(K58:K61)</f>
        <v>0</v>
      </c>
      <c r="L62" s="466"/>
      <c r="M62" s="466">
        <f>SUM(M58:M61)</f>
        <v>41212</v>
      </c>
      <c r="N62" s="417"/>
      <c r="O62" s="387"/>
    </row>
    <row r="63" spans="1:15" x14ac:dyDescent="0.3">
      <c r="A63" s="389"/>
      <c r="B63" s="448"/>
      <c r="C63" s="468"/>
      <c r="D63" s="468"/>
      <c r="E63" s="468"/>
      <c r="F63" s="468"/>
      <c r="G63" s="468"/>
      <c r="H63" s="468"/>
      <c r="I63" s="468"/>
      <c r="J63" s="468"/>
      <c r="K63" s="468"/>
      <c r="L63" s="468"/>
      <c r="M63" s="469"/>
      <c r="N63" s="591"/>
      <c r="O63" s="387"/>
    </row>
    <row r="64" spans="1:15" x14ac:dyDescent="0.3">
      <c r="A64" s="389"/>
      <c r="B64" s="393" t="s">
        <v>35</v>
      </c>
      <c r="C64" s="470"/>
      <c r="D64" s="470"/>
      <c r="E64" s="470"/>
      <c r="F64" s="470"/>
      <c r="G64" s="470"/>
      <c r="H64" s="470"/>
      <c r="I64" s="470"/>
      <c r="J64" s="470"/>
      <c r="K64" s="470"/>
      <c r="L64" s="470"/>
      <c r="M64" s="471"/>
      <c r="N64" s="591"/>
      <c r="O64" s="387"/>
    </row>
    <row r="65" spans="1:16" x14ac:dyDescent="0.3">
      <c r="A65" s="389"/>
      <c r="B65" s="391"/>
      <c r="C65" s="470"/>
      <c r="D65" s="470"/>
      <c r="E65" s="470"/>
      <c r="F65" s="470"/>
      <c r="G65" s="470"/>
      <c r="H65" s="470"/>
      <c r="I65" s="470"/>
      <c r="J65" s="470"/>
      <c r="K65" s="470"/>
      <c r="L65" s="470"/>
      <c r="M65" s="471"/>
      <c r="N65" s="591"/>
      <c r="O65" s="387"/>
    </row>
    <row r="66" spans="1:16" x14ac:dyDescent="0.3">
      <c r="A66" s="412"/>
      <c r="B66" s="413" t="s">
        <v>32</v>
      </c>
      <c r="C66" s="466"/>
      <c r="D66" s="466"/>
      <c r="E66" s="466"/>
      <c r="F66" s="466"/>
      <c r="G66" s="466"/>
      <c r="H66" s="466"/>
      <c r="I66" s="466"/>
      <c r="J66" s="466"/>
      <c r="K66" s="466"/>
      <c r="L66" s="466"/>
      <c r="M66" s="466"/>
      <c r="N66" s="437"/>
      <c r="O66" s="387"/>
    </row>
    <row r="67" spans="1:16" x14ac:dyDescent="0.3">
      <c r="A67" s="412"/>
      <c r="B67" s="413" t="s">
        <v>33</v>
      </c>
      <c r="C67" s="466"/>
      <c r="D67" s="466"/>
      <c r="E67" s="466"/>
      <c r="F67" s="466"/>
      <c r="G67" s="466"/>
      <c r="H67" s="466"/>
      <c r="I67" s="466"/>
      <c r="J67" s="466"/>
      <c r="K67" s="466"/>
      <c r="L67" s="466"/>
      <c r="M67" s="466"/>
      <c r="N67" s="437"/>
      <c r="O67" s="387"/>
    </row>
    <row r="68" spans="1:16" x14ac:dyDescent="0.3">
      <c r="A68" s="412"/>
      <c r="B68" s="413"/>
      <c r="C68" s="466"/>
      <c r="D68" s="466"/>
      <c r="E68" s="466"/>
      <c r="F68" s="466"/>
      <c r="G68" s="466"/>
      <c r="H68" s="466"/>
      <c r="I68" s="466"/>
      <c r="J68" s="466"/>
      <c r="K68" s="466"/>
      <c r="L68" s="466"/>
      <c r="M68" s="466"/>
      <c r="N68" s="437"/>
      <c r="O68" s="387"/>
    </row>
    <row r="69" spans="1:16" x14ac:dyDescent="0.3">
      <c r="A69" s="412"/>
      <c r="B69" s="413" t="s">
        <v>34</v>
      </c>
      <c r="C69" s="466"/>
      <c r="D69" s="466"/>
      <c r="E69" s="466"/>
      <c r="F69" s="466"/>
      <c r="G69" s="466"/>
      <c r="H69" s="466"/>
      <c r="I69" s="466"/>
      <c r="J69" s="466"/>
      <c r="K69" s="466"/>
      <c r="L69" s="466"/>
      <c r="M69" s="466"/>
      <c r="N69" s="437"/>
      <c r="O69" s="387"/>
    </row>
    <row r="70" spans="1:16" x14ac:dyDescent="0.3">
      <c r="A70" s="412"/>
      <c r="B70" s="413"/>
      <c r="C70" s="466"/>
      <c r="D70" s="466"/>
      <c r="E70" s="466"/>
      <c r="F70" s="466"/>
      <c r="G70" s="466"/>
      <c r="H70" s="466"/>
      <c r="I70" s="466"/>
      <c r="J70" s="466"/>
      <c r="K70" s="466"/>
      <c r="L70" s="466"/>
      <c r="M70" s="466"/>
      <c r="N70" s="437"/>
      <c r="O70" s="387"/>
    </row>
    <row r="71" spans="1:16" x14ac:dyDescent="0.3">
      <c r="A71" s="412"/>
      <c r="B71" s="413" t="s">
        <v>36</v>
      </c>
      <c r="C71" s="466">
        <v>0</v>
      </c>
      <c r="D71" s="466"/>
      <c r="E71" s="466">
        <v>0</v>
      </c>
      <c r="F71" s="466"/>
      <c r="G71" s="466"/>
      <c r="H71" s="466"/>
      <c r="I71" s="466"/>
      <c r="J71" s="466"/>
      <c r="K71" s="466"/>
      <c r="L71" s="466"/>
      <c r="M71" s="466">
        <v>0</v>
      </c>
      <c r="N71" s="437"/>
      <c r="O71" s="387"/>
    </row>
    <row r="72" spans="1:16" x14ac:dyDescent="0.3">
      <c r="A72" s="412"/>
      <c r="B72" s="413" t="s">
        <v>147</v>
      </c>
      <c r="C72" s="466">
        <f>59167</f>
        <v>59167</v>
      </c>
      <c r="D72" s="466"/>
      <c r="E72" s="466">
        <v>0</v>
      </c>
      <c r="F72" s="466"/>
      <c r="G72" s="466"/>
      <c r="H72" s="466"/>
      <c r="I72" s="466"/>
      <c r="J72" s="466"/>
      <c r="K72" s="466"/>
      <c r="L72" s="466"/>
      <c r="M72" s="466">
        <f>+E72+I72</f>
        <v>0</v>
      </c>
      <c r="N72" s="437"/>
      <c r="O72" s="387"/>
    </row>
    <row r="73" spans="1:16" x14ac:dyDescent="0.3">
      <c r="A73" s="412"/>
      <c r="B73" s="413" t="s">
        <v>171</v>
      </c>
      <c r="C73" s="466">
        <v>0</v>
      </c>
      <c r="D73" s="466"/>
      <c r="E73" s="466">
        <v>0</v>
      </c>
      <c r="F73" s="466"/>
      <c r="G73" s="466"/>
      <c r="H73" s="466"/>
      <c r="I73" s="466"/>
      <c r="J73" s="466"/>
      <c r="K73" s="466"/>
      <c r="L73" s="466"/>
      <c r="M73" s="466">
        <v>0</v>
      </c>
      <c r="N73" s="437"/>
      <c r="O73" s="387"/>
      <c r="P73" s="472"/>
    </row>
    <row r="74" spans="1:16" x14ac:dyDescent="0.3">
      <c r="A74" s="412"/>
      <c r="B74" s="413" t="s">
        <v>38</v>
      </c>
      <c r="C74" s="466">
        <v>0</v>
      </c>
      <c r="D74" s="466"/>
      <c r="E74" s="466">
        <v>0</v>
      </c>
      <c r="F74" s="466"/>
      <c r="G74" s="466"/>
      <c r="H74" s="466"/>
      <c r="I74" s="466"/>
      <c r="J74" s="466"/>
      <c r="K74" s="466"/>
      <c r="L74" s="466"/>
      <c r="M74" s="466">
        <v>0</v>
      </c>
      <c r="N74" s="437"/>
      <c r="O74" s="387"/>
      <c r="P74" s="472"/>
    </row>
    <row r="75" spans="1:16" x14ac:dyDescent="0.3">
      <c r="A75" s="412"/>
      <c r="B75" s="413" t="s">
        <v>39</v>
      </c>
      <c r="C75" s="466">
        <f>SUM(C62:C74)</f>
        <v>300000</v>
      </c>
      <c r="D75" s="466"/>
      <c r="E75" s="466">
        <f>SUM(E62:E74)</f>
        <v>43730</v>
      </c>
      <c r="F75" s="466"/>
      <c r="G75" s="466"/>
      <c r="H75" s="466"/>
      <c r="I75" s="466"/>
      <c r="J75" s="466"/>
      <c r="K75" s="466"/>
      <c r="L75" s="466"/>
      <c r="M75" s="466">
        <f>SUM(M62:M74)</f>
        <v>41212</v>
      </c>
      <c r="N75" s="437"/>
      <c r="O75" s="387"/>
    </row>
    <row r="76" spans="1:16" x14ac:dyDescent="0.3">
      <c r="A76" s="389"/>
      <c r="B76" s="473"/>
      <c r="C76" s="474"/>
      <c r="D76" s="474"/>
      <c r="E76" s="474"/>
      <c r="F76" s="474"/>
      <c r="G76" s="474"/>
      <c r="H76" s="474"/>
      <c r="I76" s="474"/>
      <c r="J76" s="474"/>
      <c r="K76" s="474"/>
      <c r="L76" s="474"/>
      <c r="M76" s="474"/>
      <c r="N76" s="594"/>
      <c r="O76" s="387"/>
    </row>
    <row r="77" spans="1:16" x14ac:dyDescent="0.3">
      <c r="A77" s="389"/>
      <c r="B77" s="401"/>
      <c r="C77" s="401"/>
      <c r="D77" s="401"/>
      <c r="E77" s="401"/>
      <c r="F77" s="401"/>
      <c r="G77" s="401"/>
      <c r="H77" s="401"/>
      <c r="I77" s="401"/>
      <c r="J77" s="401"/>
      <c r="K77" s="401"/>
      <c r="L77" s="401"/>
      <c r="M77" s="401"/>
      <c r="N77" s="594"/>
      <c r="O77" s="387"/>
    </row>
    <row r="78" spans="1:16" x14ac:dyDescent="0.3">
      <c r="A78" s="389"/>
      <c r="B78" s="408" t="s">
        <v>40</v>
      </c>
      <c r="C78" s="477" t="s">
        <v>120</v>
      </c>
      <c r="D78" s="478">
        <f>+K171</f>
        <v>43039</v>
      </c>
      <c r="E78" s="400"/>
      <c r="F78" s="400"/>
      <c r="G78" s="400"/>
      <c r="H78" s="400"/>
      <c r="I78" s="400"/>
      <c r="J78" s="404"/>
      <c r="K78" s="404" t="s">
        <v>133</v>
      </c>
      <c r="L78" s="404"/>
      <c r="M78" s="404" t="s">
        <v>143</v>
      </c>
      <c r="N78" s="594"/>
      <c r="O78" s="387"/>
    </row>
    <row r="79" spans="1:16" x14ac:dyDescent="0.3">
      <c r="A79" s="479"/>
      <c r="B79" s="413" t="s">
        <v>41</v>
      </c>
      <c r="C79" s="413"/>
      <c r="D79" s="413"/>
      <c r="E79" s="413"/>
      <c r="F79" s="413"/>
      <c r="G79" s="413"/>
      <c r="H79" s="413"/>
      <c r="I79" s="413"/>
      <c r="J79" s="413"/>
      <c r="K79" s="466">
        <f>+'Oct 2008'!K112</f>
        <v>0</v>
      </c>
      <c r="L79" s="413"/>
      <c r="M79" s="467">
        <v>0</v>
      </c>
      <c r="N79" s="437"/>
      <c r="O79" s="387"/>
    </row>
    <row r="80" spans="1:16" x14ac:dyDescent="0.3">
      <c r="A80" s="479"/>
      <c r="B80" s="413" t="s">
        <v>42</v>
      </c>
      <c r="C80" s="441" t="s">
        <v>207</v>
      </c>
      <c r="D80" s="480" t="s">
        <v>207</v>
      </c>
      <c r="E80" s="481"/>
      <c r="F80" s="413"/>
      <c r="G80" s="413"/>
      <c r="H80" s="413"/>
      <c r="I80" s="413"/>
      <c r="J80" s="413"/>
      <c r="K80" s="466">
        <f>2518+136</f>
        <v>2654</v>
      </c>
      <c r="L80" s="413"/>
      <c r="M80" s="467"/>
      <c r="N80" s="437"/>
      <c r="O80" s="387"/>
    </row>
    <row r="81" spans="1:16" x14ac:dyDescent="0.3">
      <c r="A81" s="479"/>
      <c r="B81" s="413" t="s">
        <v>204</v>
      </c>
      <c r="C81" s="441"/>
      <c r="D81" s="480"/>
      <c r="E81" s="481"/>
      <c r="F81" s="413"/>
      <c r="G81" s="413"/>
      <c r="H81" s="413"/>
      <c r="I81" s="413"/>
      <c r="J81" s="413"/>
      <c r="K81" s="466"/>
      <c r="L81" s="413"/>
      <c r="M81" s="467">
        <f>2670+3-1805</f>
        <v>868</v>
      </c>
      <c r="N81" s="437"/>
      <c r="O81" s="387"/>
    </row>
    <row r="82" spans="1:16" x14ac:dyDescent="0.3">
      <c r="A82" s="479"/>
      <c r="B82" s="413" t="s">
        <v>205</v>
      </c>
      <c r="C82" s="441"/>
      <c r="D82" s="480"/>
      <c r="E82" s="481"/>
      <c r="F82" s="413"/>
      <c r="G82" s="413"/>
      <c r="H82" s="413"/>
      <c r="I82" s="413"/>
      <c r="J82" s="413"/>
      <c r="K82" s="466"/>
      <c r="L82" s="413"/>
      <c r="M82" s="467">
        <v>347</v>
      </c>
      <c r="N82" s="437"/>
      <c r="O82" s="387"/>
    </row>
    <row r="83" spans="1:16" x14ac:dyDescent="0.3">
      <c r="A83" s="479"/>
      <c r="B83" s="413" t="s">
        <v>206</v>
      </c>
      <c r="C83" s="441"/>
      <c r="D83" s="480"/>
      <c r="E83" s="481"/>
      <c r="F83" s="413"/>
      <c r="G83" s="413"/>
      <c r="H83" s="413"/>
      <c r="I83" s="413"/>
      <c r="J83" s="413"/>
      <c r="K83" s="466"/>
      <c r="L83" s="413"/>
      <c r="M83" s="467">
        <v>9</v>
      </c>
      <c r="N83" s="437"/>
      <c r="O83" s="387"/>
      <c r="P83" s="472"/>
    </row>
    <row r="84" spans="1:16" x14ac:dyDescent="0.3">
      <c r="A84" s="479"/>
      <c r="B84" s="413" t="s">
        <v>44</v>
      </c>
      <c r="C84" s="413"/>
      <c r="D84" s="413"/>
      <c r="E84" s="413"/>
      <c r="F84" s="413"/>
      <c r="G84" s="413"/>
      <c r="H84" s="413"/>
      <c r="I84" s="413"/>
      <c r="J84" s="413"/>
      <c r="K84" s="466"/>
      <c r="L84" s="413"/>
      <c r="M84" s="467">
        <v>0</v>
      </c>
      <c r="N84" s="437"/>
      <c r="O84" s="387"/>
    </row>
    <row r="85" spans="1:16" x14ac:dyDescent="0.3">
      <c r="A85" s="479"/>
      <c r="B85" s="413" t="s">
        <v>45</v>
      </c>
      <c r="C85" s="413"/>
      <c r="D85" s="413"/>
      <c r="E85" s="413"/>
      <c r="F85" s="413"/>
      <c r="G85" s="413"/>
      <c r="H85" s="413"/>
      <c r="I85" s="413"/>
      <c r="J85" s="413"/>
      <c r="K85" s="466">
        <f>SUM(K79:K84)</f>
        <v>2654</v>
      </c>
      <c r="L85" s="413"/>
      <c r="M85" s="466">
        <f>SUM(M79:M84)</f>
        <v>1224</v>
      </c>
      <c r="N85" s="437"/>
      <c r="O85" s="387"/>
    </row>
    <row r="86" spans="1:16" x14ac:dyDescent="0.3">
      <c r="A86" s="479"/>
      <c r="B86" s="413" t="s">
        <v>46</v>
      </c>
      <c r="C86" s="413"/>
      <c r="D86" s="413"/>
      <c r="E86" s="413"/>
      <c r="F86" s="413"/>
      <c r="G86" s="413"/>
      <c r="H86" s="413"/>
      <c r="I86" s="413"/>
      <c r="J86" s="413"/>
      <c r="K86" s="466">
        <f>-M86</f>
        <v>0</v>
      </c>
      <c r="L86" s="413"/>
      <c r="M86" s="467">
        <v>0</v>
      </c>
      <c r="N86" s="437"/>
      <c r="O86" s="387"/>
    </row>
    <row r="87" spans="1:16" x14ac:dyDescent="0.3">
      <c r="A87" s="479"/>
      <c r="B87" s="413" t="s">
        <v>47</v>
      </c>
      <c r="C87" s="413"/>
      <c r="D87" s="413"/>
      <c r="E87" s="413"/>
      <c r="F87" s="413"/>
      <c r="G87" s="413"/>
      <c r="H87" s="413"/>
      <c r="I87" s="413"/>
      <c r="J87" s="413"/>
      <c r="K87" s="466">
        <f>K85+K86</f>
        <v>2654</v>
      </c>
      <c r="L87" s="413"/>
      <c r="M87" s="466">
        <f>M85+M86</f>
        <v>1224</v>
      </c>
      <c r="N87" s="437"/>
      <c r="O87" s="387"/>
      <c r="P87" s="482"/>
    </row>
    <row r="88" spans="1:16" x14ac:dyDescent="0.3">
      <c r="A88" s="479"/>
      <c r="B88" s="483" t="s">
        <v>48</v>
      </c>
      <c r="C88" s="483"/>
      <c r="D88" s="483"/>
      <c r="E88" s="413"/>
      <c r="F88" s="413"/>
      <c r="G88" s="413"/>
      <c r="H88" s="413"/>
      <c r="I88" s="413"/>
      <c r="J88" s="413"/>
      <c r="K88" s="466"/>
      <c r="L88" s="413"/>
      <c r="M88" s="467"/>
      <c r="N88" s="417"/>
      <c r="O88" s="387"/>
    </row>
    <row r="89" spans="1:16" x14ac:dyDescent="0.3">
      <c r="A89" s="479">
        <v>1</v>
      </c>
      <c r="B89" s="413" t="s">
        <v>49</v>
      </c>
      <c r="C89" s="413"/>
      <c r="D89" s="413"/>
      <c r="E89" s="413"/>
      <c r="F89" s="413"/>
      <c r="G89" s="413"/>
      <c r="H89" s="413"/>
      <c r="I89" s="413"/>
      <c r="J89" s="413"/>
      <c r="K89" s="413"/>
      <c r="L89" s="413"/>
      <c r="M89" s="467">
        <v>0</v>
      </c>
      <c r="N89" s="417"/>
      <c r="O89" s="387"/>
      <c r="P89" s="472"/>
    </row>
    <row r="90" spans="1:16" x14ac:dyDescent="0.3">
      <c r="A90" s="479">
        <v>2</v>
      </c>
      <c r="B90" s="413" t="s">
        <v>50</v>
      </c>
      <c r="C90" s="413"/>
      <c r="D90" s="413"/>
      <c r="E90" s="413"/>
      <c r="F90" s="413"/>
      <c r="G90" s="413"/>
      <c r="H90" s="413"/>
      <c r="I90" s="413"/>
      <c r="J90" s="413"/>
      <c r="K90" s="413"/>
      <c r="L90" s="413"/>
      <c r="M90" s="467">
        <v>-2</v>
      </c>
      <c r="N90" s="417"/>
      <c r="O90" s="387"/>
      <c r="P90" s="482"/>
    </row>
    <row r="91" spans="1:16" x14ac:dyDescent="0.3">
      <c r="A91" s="479">
        <v>3</v>
      </c>
      <c r="B91" s="413" t="s">
        <v>194</v>
      </c>
      <c r="C91" s="413"/>
      <c r="D91" s="413"/>
      <c r="E91" s="413"/>
      <c r="F91" s="413"/>
      <c r="G91" s="413"/>
      <c r="H91" s="413"/>
      <c r="I91" s="413"/>
      <c r="J91" s="413"/>
      <c r="K91" s="413"/>
      <c r="L91" s="413"/>
      <c r="M91" s="467">
        <f>-17-15-1</f>
        <v>-33</v>
      </c>
      <c r="N91" s="417"/>
      <c r="O91" s="387"/>
    </row>
    <row r="92" spans="1:16" x14ac:dyDescent="0.3">
      <c r="A92" s="484" t="s">
        <v>184</v>
      </c>
      <c r="B92" s="413" t="s">
        <v>146</v>
      </c>
      <c r="C92" s="413"/>
      <c r="D92" s="413"/>
      <c r="E92" s="413"/>
      <c r="F92" s="413"/>
      <c r="G92" s="413"/>
      <c r="H92" s="413"/>
      <c r="I92" s="413"/>
      <c r="J92" s="413"/>
      <c r="K92" s="413"/>
      <c r="L92" s="413"/>
      <c r="M92" s="467">
        <v>0</v>
      </c>
      <c r="N92" s="417"/>
      <c r="O92" s="387"/>
    </row>
    <row r="93" spans="1:16" x14ac:dyDescent="0.3">
      <c r="A93" s="484" t="s">
        <v>192</v>
      </c>
      <c r="B93" s="413" t="s">
        <v>51</v>
      </c>
      <c r="C93" s="413"/>
      <c r="D93" s="413"/>
      <c r="E93" s="413"/>
      <c r="F93" s="413"/>
      <c r="G93" s="413"/>
      <c r="H93" s="413"/>
      <c r="I93" s="413"/>
      <c r="J93" s="413"/>
      <c r="K93" s="413"/>
      <c r="L93" s="413"/>
      <c r="M93" s="467">
        <v>-38</v>
      </c>
      <c r="N93" s="417"/>
      <c r="O93" s="387"/>
    </row>
    <row r="94" spans="1:16" x14ac:dyDescent="0.3">
      <c r="A94" s="479">
        <v>5</v>
      </c>
      <c r="B94" s="413" t="s">
        <v>52</v>
      </c>
      <c r="C94" s="413"/>
      <c r="D94" s="413"/>
      <c r="E94" s="413"/>
      <c r="F94" s="413"/>
      <c r="G94" s="413"/>
      <c r="H94" s="413"/>
      <c r="I94" s="413"/>
      <c r="J94" s="413"/>
      <c r="K94" s="413"/>
      <c r="L94" s="413"/>
      <c r="M94" s="467">
        <v>-58</v>
      </c>
      <c r="N94" s="417"/>
      <c r="O94" s="387"/>
    </row>
    <row r="95" spans="1:16" x14ac:dyDescent="0.3">
      <c r="A95" s="479">
        <v>6</v>
      </c>
      <c r="B95" s="413" t="s">
        <v>172</v>
      </c>
      <c r="C95" s="413"/>
      <c r="D95" s="413"/>
      <c r="E95" s="413"/>
      <c r="F95" s="413"/>
      <c r="G95" s="413"/>
      <c r="H95" s="413"/>
      <c r="I95" s="413"/>
      <c r="J95" s="413"/>
      <c r="K95" s="413"/>
      <c r="L95" s="413"/>
      <c r="M95" s="467">
        <v>-48</v>
      </c>
      <c r="N95" s="417"/>
      <c r="O95" s="387"/>
    </row>
    <row r="96" spans="1:16" x14ac:dyDescent="0.3">
      <c r="A96" s="479">
        <v>7</v>
      </c>
      <c r="B96" s="413" t="s">
        <v>53</v>
      </c>
      <c r="C96" s="413"/>
      <c r="D96" s="413"/>
      <c r="E96" s="413"/>
      <c r="F96" s="413"/>
      <c r="G96" s="413"/>
      <c r="H96" s="413"/>
      <c r="I96" s="413"/>
      <c r="J96" s="413"/>
      <c r="K96" s="413"/>
      <c r="L96" s="413"/>
      <c r="M96" s="467">
        <v>-7</v>
      </c>
      <c r="N96" s="417"/>
      <c r="O96" s="387"/>
    </row>
    <row r="97" spans="1:16" x14ac:dyDescent="0.3">
      <c r="A97" s="479">
        <v>8</v>
      </c>
      <c r="B97" s="413" t="s">
        <v>69</v>
      </c>
      <c r="C97" s="413"/>
      <c r="D97" s="413"/>
      <c r="E97" s="413"/>
      <c r="F97" s="413"/>
      <c r="G97" s="413"/>
      <c r="H97" s="413"/>
      <c r="I97" s="413"/>
      <c r="J97" s="413"/>
      <c r="K97" s="466">
        <f>-M97</f>
        <v>-136</v>
      </c>
      <c r="L97" s="413"/>
      <c r="M97" s="467">
        <v>136</v>
      </c>
      <c r="N97" s="417"/>
      <c r="O97" s="387"/>
    </row>
    <row r="98" spans="1:16" x14ac:dyDescent="0.3">
      <c r="A98" s="479">
        <v>9</v>
      </c>
      <c r="B98" s="413" t="s">
        <v>193</v>
      </c>
      <c r="C98" s="413"/>
      <c r="D98" s="413"/>
      <c r="E98" s="413"/>
      <c r="F98" s="413"/>
      <c r="G98" s="413"/>
      <c r="H98" s="413"/>
      <c r="I98" s="413"/>
      <c r="J98" s="413"/>
      <c r="K98" s="413"/>
      <c r="L98" s="413"/>
      <c r="M98" s="467">
        <v>0</v>
      </c>
      <c r="N98" s="417"/>
      <c r="O98" s="387"/>
    </row>
    <row r="99" spans="1:16" x14ac:dyDescent="0.3">
      <c r="A99" s="479">
        <v>10</v>
      </c>
      <c r="B99" s="413" t="s">
        <v>54</v>
      </c>
      <c r="C99" s="413"/>
      <c r="D99" s="413"/>
      <c r="E99" s="413"/>
      <c r="F99" s="413"/>
      <c r="G99" s="413"/>
      <c r="H99" s="413"/>
      <c r="I99" s="413"/>
      <c r="J99" s="413"/>
      <c r="K99" s="413"/>
      <c r="L99" s="413"/>
      <c r="M99" s="467">
        <v>0</v>
      </c>
      <c r="N99" s="417"/>
      <c r="O99" s="387"/>
    </row>
    <row r="100" spans="1:16" x14ac:dyDescent="0.3">
      <c r="A100" s="479">
        <v>11</v>
      </c>
      <c r="B100" s="413" t="s">
        <v>55</v>
      </c>
      <c r="C100" s="413"/>
      <c r="D100" s="413"/>
      <c r="E100" s="413"/>
      <c r="F100" s="413"/>
      <c r="G100" s="413"/>
      <c r="H100" s="413"/>
      <c r="I100" s="413"/>
      <c r="J100" s="413"/>
      <c r="K100" s="413"/>
      <c r="L100" s="413"/>
      <c r="M100" s="467">
        <v>0</v>
      </c>
      <c r="N100" s="417"/>
      <c r="O100" s="387"/>
    </row>
    <row r="101" spans="1:16" x14ac:dyDescent="0.3">
      <c r="A101" s="479">
        <v>12</v>
      </c>
      <c r="B101" s="413" t="s">
        <v>173</v>
      </c>
      <c r="C101" s="413"/>
      <c r="D101" s="413"/>
      <c r="E101" s="413"/>
      <c r="F101" s="413"/>
      <c r="G101" s="413"/>
      <c r="H101" s="413"/>
      <c r="I101" s="413"/>
      <c r="J101" s="413"/>
      <c r="K101" s="413"/>
      <c r="L101" s="413"/>
      <c r="M101" s="467">
        <v>-16</v>
      </c>
      <c r="N101" s="417"/>
      <c r="O101" s="387"/>
    </row>
    <row r="102" spans="1:16" x14ac:dyDescent="0.3">
      <c r="A102" s="479">
        <v>13</v>
      </c>
      <c r="B102" s="413" t="s">
        <v>195</v>
      </c>
      <c r="C102" s="413"/>
      <c r="D102" s="413"/>
      <c r="E102" s="413"/>
      <c r="F102" s="413"/>
      <c r="G102" s="413"/>
      <c r="H102" s="413"/>
      <c r="I102" s="413"/>
      <c r="J102" s="413"/>
      <c r="K102" s="413"/>
      <c r="L102" s="413"/>
      <c r="M102" s="467">
        <f>-M87-SUM(M89:M101)</f>
        <v>-1158</v>
      </c>
      <c r="N102" s="417"/>
      <c r="O102" s="387"/>
    </row>
    <row r="103" spans="1:16" x14ac:dyDescent="0.3">
      <c r="A103" s="412"/>
      <c r="B103" s="485" t="s">
        <v>56</v>
      </c>
      <c r="C103" s="486"/>
      <c r="D103" s="486"/>
      <c r="E103" s="416"/>
      <c r="F103" s="416"/>
      <c r="G103" s="416"/>
      <c r="H103" s="416"/>
      <c r="I103" s="416"/>
      <c r="J103" s="416"/>
      <c r="K103" s="416"/>
      <c r="L103" s="416"/>
      <c r="M103" s="487"/>
      <c r="N103" s="417"/>
      <c r="O103" s="387"/>
    </row>
    <row r="104" spans="1:16" x14ac:dyDescent="0.3">
      <c r="A104" s="412"/>
      <c r="B104" s="413" t="s">
        <v>57</v>
      </c>
      <c r="C104" s="483"/>
      <c r="D104" s="483"/>
      <c r="E104" s="413"/>
      <c r="F104" s="413"/>
      <c r="G104" s="413"/>
      <c r="H104" s="413"/>
      <c r="I104" s="413"/>
      <c r="J104" s="413"/>
      <c r="K104" s="466">
        <f>-K155</f>
        <v>0</v>
      </c>
      <c r="L104" s="466"/>
      <c r="M104" s="467"/>
      <c r="N104" s="417"/>
      <c r="O104" s="387"/>
    </row>
    <row r="105" spans="1:16" x14ac:dyDescent="0.3">
      <c r="A105" s="412"/>
      <c r="B105" s="413" t="s">
        <v>58</v>
      </c>
      <c r="C105" s="413"/>
      <c r="D105" s="413"/>
      <c r="E105" s="413"/>
      <c r="F105" s="413"/>
      <c r="G105" s="413"/>
      <c r="H105" s="413"/>
      <c r="I105" s="413"/>
      <c r="J105" s="413"/>
      <c r="K105" s="466">
        <f>-I155</f>
        <v>0</v>
      </c>
      <c r="L105" s="466"/>
      <c r="M105" s="467"/>
      <c r="N105" s="417"/>
      <c r="O105" s="387"/>
      <c r="P105" s="472"/>
    </row>
    <row r="106" spans="1:16" x14ac:dyDescent="0.3">
      <c r="A106" s="412"/>
      <c r="B106" s="413" t="s">
        <v>187</v>
      </c>
      <c r="C106" s="413"/>
      <c r="D106" s="413"/>
      <c r="E106" s="413"/>
      <c r="F106" s="413"/>
      <c r="G106" s="413"/>
      <c r="H106" s="413"/>
      <c r="I106" s="413"/>
      <c r="J106" s="413"/>
      <c r="K106" s="466">
        <v>0</v>
      </c>
      <c r="L106" s="466"/>
      <c r="M106" s="467"/>
      <c r="N106" s="417"/>
      <c r="O106" s="387"/>
    </row>
    <row r="107" spans="1:16" x14ac:dyDescent="0.3">
      <c r="A107" s="412"/>
      <c r="B107" s="413" t="s">
        <v>185</v>
      </c>
      <c r="C107" s="413"/>
      <c r="D107" s="413"/>
      <c r="E107" s="413"/>
      <c r="F107" s="413"/>
      <c r="G107" s="413"/>
      <c r="H107" s="413"/>
      <c r="I107" s="413"/>
      <c r="J107" s="413"/>
      <c r="K107" s="466">
        <v>-156</v>
      </c>
      <c r="L107" s="466"/>
      <c r="M107" s="467"/>
      <c r="N107" s="417"/>
      <c r="O107" s="387"/>
    </row>
    <row r="108" spans="1:16" x14ac:dyDescent="0.3">
      <c r="A108" s="412"/>
      <c r="B108" s="413" t="s">
        <v>59</v>
      </c>
      <c r="C108" s="413"/>
      <c r="D108" s="413"/>
      <c r="E108" s="413"/>
      <c r="F108" s="413"/>
      <c r="G108" s="413"/>
      <c r="H108" s="413"/>
      <c r="I108" s="413"/>
      <c r="J108" s="413"/>
      <c r="K108" s="466">
        <v>-1438</v>
      </c>
      <c r="L108" s="466"/>
      <c r="M108" s="467"/>
      <c r="N108" s="417"/>
      <c r="O108" s="387"/>
    </row>
    <row r="109" spans="1:16" x14ac:dyDescent="0.3">
      <c r="A109" s="412"/>
      <c r="B109" s="413" t="s">
        <v>186</v>
      </c>
      <c r="C109" s="413"/>
      <c r="D109" s="413"/>
      <c r="E109" s="413"/>
      <c r="F109" s="413"/>
      <c r="G109" s="413"/>
      <c r="H109" s="413"/>
      <c r="I109" s="413"/>
      <c r="J109" s="413"/>
      <c r="K109" s="466">
        <v>-924</v>
      </c>
      <c r="L109" s="466"/>
      <c r="M109" s="467"/>
      <c r="N109" s="417"/>
      <c r="O109" s="387"/>
    </row>
    <row r="110" spans="1:16" x14ac:dyDescent="0.3">
      <c r="A110" s="412"/>
      <c r="B110" s="413" t="s">
        <v>60</v>
      </c>
      <c r="C110" s="413"/>
      <c r="D110" s="413"/>
      <c r="E110" s="413"/>
      <c r="F110" s="413"/>
      <c r="G110" s="413"/>
      <c r="H110" s="413"/>
      <c r="I110" s="413"/>
      <c r="J110" s="413"/>
      <c r="K110" s="466">
        <f>+K105+K106+K107+K108+K109</f>
        <v>-2518</v>
      </c>
      <c r="L110" s="466"/>
      <c r="M110" s="466">
        <f>SUM(M88:M109)</f>
        <v>-1224</v>
      </c>
      <c r="N110" s="417"/>
      <c r="O110" s="387"/>
    </row>
    <row r="111" spans="1:16" x14ac:dyDescent="0.3">
      <c r="A111" s="412"/>
      <c r="B111" s="413" t="s">
        <v>61</v>
      </c>
      <c r="C111" s="413"/>
      <c r="D111" s="413"/>
      <c r="E111" s="413"/>
      <c r="F111" s="413"/>
      <c r="G111" s="413"/>
      <c r="H111" s="413"/>
      <c r="I111" s="413"/>
      <c r="J111" s="413"/>
      <c r="K111" s="466">
        <f>K87+K110+K97</f>
        <v>0</v>
      </c>
      <c r="L111" s="466"/>
      <c r="M111" s="466">
        <f>M87+M110</f>
        <v>0</v>
      </c>
      <c r="N111" s="417"/>
      <c r="O111" s="387"/>
    </row>
    <row r="112" spans="1:16" x14ac:dyDescent="0.3">
      <c r="A112" s="389"/>
      <c r="B112" s="475"/>
      <c r="C112" s="475"/>
      <c r="D112" s="475"/>
      <c r="E112" s="475"/>
      <c r="F112" s="475"/>
      <c r="G112" s="475"/>
      <c r="H112" s="475"/>
      <c r="I112" s="475"/>
      <c r="J112" s="475"/>
      <c r="K112" s="488"/>
      <c r="L112" s="488"/>
      <c r="M112" s="488"/>
      <c r="N112" s="591"/>
      <c r="O112" s="387"/>
    </row>
    <row r="113" spans="1:15" x14ac:dyDescent="0.3">
      <c r="A113" s="389"/>
      <c r="B113" s="476"/>
      <c r="C113" s="476"/>
      <c r="D113" s="476"/>
      <c r="E113" s="476"/>
      <c r="F113" s="476"/>
      <c r="G113" s="476"/>
      <c r="H113" s="476"/>
      <c r="I113" s="476"/>
      <c r="J113" s="476"/>
      <c r="K113" s="476"/>
      <c r="L113" s="476"/>
      <c r="M113" s="489"/>
      <c r="N113" s="591"/>
      <c r="O113" s="387"/>
    </row>
    <row r="114" spans="1:15" ht="18.600000000000001" thickBot="1" x14ac:dyDescent="0.4">
      <c r="A114" s="453"/>
      <c r="B114" s="454" t="str">
        <f>B54</f>
        <v>PSF1 INVESTOR REPORT QUARTER ENDING OCTOBER 2017</v>
      </c>
      <c r="C114" s="490"/>
      <c r="D114" s="490"/>
      <c r="E114" s="490"/>
      <c r="F114" s="490"/>
      <c r="G114" s="490"/>
      <c r="H114" s="490"/>
      <c r="I114" s="490"/>
      <c r="J114" s="490"/>
      <c r="K114" s="490"/>
      <c r="L114" s="490"/>
      <c r="M114" s="491"/>
      <c r="N114" s="457"/>
      <c r="O114" s="387"/>
    </row>
    <row r="115" spans="1:15" x14ac:dyDescent="0.3">
      <c r="A115" s="492"/>
      <c r="B115" s="493" t="s">
        <v>62</v>
      </c>
      <c r="C115" s="494"/>
      <c r="D115" s="494"/>
      <c r="E115" s="495"/>
      <c r="F115" s="495"/>
      <c r="G115" s="495"/>
      <c r="H115" s="495"/>
      <c r="I115" s="495"/>
      <c r="J115" s="495"/>
      <c r="K115" s="495"/>
      <c r="L115" s="495"/>
      <c r="M115" s="496"/>
      <c r="N115" s="595"/>
      <c r="O115" s="387"/>
    </row>
    <row r="116" spans="1:15" x14ac:dyDescent="0.3">
      <c r="A116" s="389"/>
      <c r="B116" s="497"/>
      <c r="C116" s="399"/>
      <c r="D116" s="399"/>
      <c r="E116" s="391"/>
      <c r="F116" s="391"/>
      <c r="G116" s="391"/>
      <c r="H116" s="391"/>
      <c r="I116" s="391"/>
      <c r="J116" s="391"/>
      <c r="K116" s="391"/>
      <c r="L116" s="391"/>
      <c r="M116" s="461"/>
      <c r="N116" s="591"/>
      <c r="O116" s="387"/>
    </row>
    <row r="117" spans="1:15" x14ac:dyDescent="0.3">
      <c r="A117" s="389"/>
      <c r="B117" s="498" t="s">
        <v>63</v>
      </c>
      <c r="C117" s="399"/>
      <c r="D117" s="399"/>
      <c r="E117" s="391"/>
      <c r="F117" s="391"/>
      <c r="G117" s="391"/>
      <c r="H117" s="391"/>
      <c r="I117" s="391"/>
      <c r="J117" s="391"/>
      <c r="K117" s="391"/>
      <c r="L117" s="391"/>
      <c r="M117" s="461"/>
      <c r="N117" s="591"/>
      <c r="O117" s="387"/>
    </row>
    <row r="118" spans="1:15" x14ac:dyDescent="0.3">
      <c r="A118" s="412"/>
      <c r="B118" s="413" t="s">
        <v>64</v>
      </c>
      <c r="C118" s="413"/>
      <c r="D118" s="413"/>
      <c r="E118" s="413"/>
      <c r="F118" s="413"/>
      <c r="G118" s="413"/>
      <c r="H118" s="413"/>
      <c r="I118" s="413"/>
      <c r="J118" s="413"/>
      <c r="K118" s="413"/>
      <c r="L118" s="413"/>
      <c r="M118" s="467">
        <f>+M30*0.045</f>
        <v>13500</v>
      </c>
      <c r="N118" s="437"/>
      <c r="O118" s="387"/>
    </row>
    <row r="119" spans="1:15" x14ac:dyDescent="0.3">
      <c r="A119" s="412"/>
      <c r="B119" s="413" t="s">
        <v>65</v>
      </c>
      <c r="C119" s="413"/>
      <c r="D119" s="413"/>
      <c r="E119" s="413"/>
      <c r="F119" s="413"/>
      <c r="G119" s="413"/>
      <c r="H119" s="413"/>
      <c r="I119" s="413"/>
      <c r="J119" s="413"/>
      <c r="K119" s="413"/>
      <c r="L119" s="413"/>
      <c r="M119" s="467">
        <v>15900</v>
      </c>
      <c r="N119" s="437"/>
      <c r="O119" s="387"/>
    </row>
    <row r="120" spans="1:15" x14ac:dyDescent="0.3">
      <c r="A120" s="412"/>
      <c r="B120" s="413" t="s">
        <v>66</v>
      </c>
      <c r="C120" s="413"/>
      <c r="D120" s="413"/>
      <c r="E120" s="413"/>
      <c r="F120" s="413"/>
      <c r="G120" s="413"/>
      <c r="H120" s="413"/>
      <c r="I120" s="413"/>
      <c r="J120" s="413"/>
      <c r="K120" s="413"/>
      <c r="L120" s="413"/>
      <c r="M120" s="467">
        <v>0</v>
      </c>
      <c r="N120" s="437"/>
      <c r="O120" s="387"/>
    </row>
    <row r="121" spans="1:15" x14ac:dyDescent="0.3">
      <c r="A121" s="412"/>
      <c r="B121" s="413" t="s">
        <v>67</v>
      </c>
      <c r="C121" s="413"/>
      <c r="D121" s="413"/>
      <c r="E121" s="413"/>
      <c r="F121" s="413"/>
      <c r="G121" s="413"/>
      <c r="H121" s="413"/>
      <c r="I121" s="413"/>
      <c r="J121" s="413"/>
      <c r="K121" s="413"/>
      <c r="L121" s="413"/>
      <c r="M121" s="467">
        <v>0</v>
      </c>
      <c r="N121" s="437"/>
      <c r="O121" s="387"/>
    </row>
    <row r="122" spans="1:15" x14ac:dyDescent="0.3">
      <c r="A122" s="412"/>
      <c r="B122" s="413" t="s">
        <v>68</v>
      </c>
      <c r="C122" s="413"/>
      <c r="D122" s="413"/>
      <c r="E122" s="413"/>
      <c r="F122" s="413"/>
      <c r="G122" s="413"/>
      <c r="H122" s="413"/>
      <c r="I122" s="413"/>
      <c r="J122" s="413"/>
      <c r="K122" s="413"/>
      <c r="L122" s="413"/>
      <c r="M122" s="467">
        <v>0</v>
      </c>
      <c r="N122" s="437"/>
      <c r="O122" s="387"/>
    </row>
    <row r="123" spans="1:15" x14ac:dyDescent="0.3">
      <c r="A123" s="412"/>
      <c r="B123" s="413" t="s">
        <v>51</v>
      </c>
      <c r="C123" s="413"/>
      <c r="D123" s="413"/>
      <c r="E123" s="413"/>
      <c r="F123" s="413"/>
      <c r="G123" s="413"/>
      <c r="H123" s="413"/>
      <c r="I123" s="413"/>
      <c r="J123" s="413"/>
      <c r="K123" s="413"/>
      <c r="L123" s="413"/>
      <c r="M123" s="467">
        <v>0</v>
      </c>
      <c r="N123" s="437"/>
      <c r="O123" s="387"/>
    </row>
    <row r="124" spans="1:15" x14ac:dyDescent="0.3">
      <c r="A124" s="412"/>
      <c r="B124" s="413" t="s">
        <v>52</v>
      </c>
      <c r="C124" s="413"/>
      <c r="D124" s="413"/>
      <c r="E124" s="413"/>
      <c r="F124" s="413"/>
      <c r="G124" s="413"/>
      <c r="H124" s="413"/>
      <c r="I124" s="413"/>
      <c r="J124" s="413"/>
      <c r="K124" s="413"/>
      <c r="L124" s="413"/>
      <c r="M124" s="467">
        <v>0</v>
      </c>
      <c r="N124" s="437"/>
      <c r="O124" s="387"/>
    </row>
    <row r="125" spans="1:15" x14ac:dyDescent="0.3">
      <c r="A125" s="412"/>
      <c r="B125" s="413" t="s">
        <v>172</v>
      </c>
      <c r="C125" s="413"/>
      <c r="D125" s="413"/>
      <c r="E125" s="413"/>
      <c r="F125" s="413"/>
      <c r="G125" s="413"/>
      <c r="H125" s="413"/>
      <c r="I125" s="413"/>
      <c r="J125" s="413"/>
      <c r="K125" s="413"/>
      <c r="L125" s="413"/>
      <c r="M125" s="467">
        <v>0</v>
      </c>
      <c r="N125" s="437"/>
      <c r="O125" s="387"/>
    </row>
    <row r="126" spans="1:15" x14ac:dyDescent="0.3">
      <c r="A126" s="412"/>
      <c r="B126" s="413" t="s">
        <v>69</v>
      </c>
      <c r="C126" s="413"/>
      <c r="D126" s="413"/>
      <c r="E126" s="413"/>
      <c r="F126" s="413"/>
      <c r="G126" s="413"/>
      <c r="H126" s="413"/>
      <c r="I126" s="413"/>
      <c r="J126" s="413"/>
      <c r="K126" s="413"/>
      <c r="L126" s="413"/>
      <c r="M126" s="467">
        <v>0</v>
      </c>
      <c r="N126" s="437"/>
      <c r="O126" s="387"/>
    </row>
    <row r="127" spans="1:15" x14ac:dyDescent="0.3">
      <c r="A127" s="412"/>
      <c r="B127" s="413" t="s">
        <v>193</v>
      </c>
      <c r="C127" s="413"/>
      <c r="D127" s="413"/>
      <c r="E127" s="413"/>
      <c r="F127" s="413"/>
      <c r="G127" s="413"/>
      <c r="H127" s="413"/>
      <c r="I127" s="413"/>
      <c r="J127" s="413"/>
      <c r="K127" s="413"/>
      <c r="L127" s="413"/>
      <c r="M127" s="467">
        <f>-M98</f>
        <v>0</v>
      </c>
      <c r="N127" s="437"/>
      <c r="O127" s="387"/>
    </row>
    <row r="128" spans="1:15" x14ac:dyDescent="0.3">
      <c r="A128" s="412"/>
      <c r="B128" s="413" t="s">
        <v>258</v>
      </c>
      <c r="C128" s="413"/>
      <c r="D128" s="413"/>
      <c r="E128" s="413"/>
      <c r="F128" s="413"/>
      <c r="G128" s="413"/>
      <c r="H128" s="413"/>
      <c r="I128" s="413"/>
      <c r="J128" s="413"/>
      <c r="K128" s="413"/>
      <c r="L128" s="413"/>
      <c r="M128" s="467">
        <v>0</v>
      </c>
      <c r="N128" s="437"/>
      <c r="O128" s="387"/>
    </row>
    <row r="129" spans="1:15" x14ac:dyDescent="0.3">
      <c r="A129" s="412"/>
      <c r="B129" s="413" t="s">
        <v>70</v>
      </c>
      <c r="C129" s="413"/>
      <c r="D129" s="413"/>
      <c r="E129" s="413"/>
      <c r="F129" s="413"/>
      <c r="G129" s="413"/>
      <c r="H129" s="413"/>
      <c r="I129" s="413"/>
      <c r="J129" s="413"/>
      <c r="K129" s="413"/>
      <c r="L129" s="413"/>
      <c r="M129" s="467">
        <f>SUM(M119:M128)</f>
        <v>15900</v>
      </c>
      <c r="N129" s="437"/>
      <c r="O129" s="387"/>
    </row>
    <row r="130" spans="1:15" x14ac:dyDescent="0.3">
      <c r="A130" s="389"/>
      <c r="B130" s="448"/>
      <c r="C130" s="448"/>
      <c r="D130" s="448"/>
      <c r="E130" s="448"/>
      <c r="F130" s="448"/>
      <c r="G130" s="448"/>
      <c r="H130" s="448"/>
      <c r="I130" s="448"/>
      <c r="J130" s="448"/>
      <c r="K130" s="448"/>
      <c r="L130" s="448"/>
      <c r="M130" s="499"/>
      <c r="N130" s="591"/>
      <c r="O130" s="387"/>
    </row>
    <row r="131" spans="1:15" x14ac:dyDescent="0.3">
      <c r="A131" s="389"/>
      <c r="B131" s="498" t="s">
        <v>37</v>
      </c>
      <c r="C131" s="391"/>
      <c r="D131" s="391"/>
      <c r="E131" s="391"/>
      <c r="F131" s="391"/>
      <c r="G131" s="391"/>
      <c r="H131" s="391"/>
      <c r="I131" s="391"/>
      <c r="J131" s="391"/>
      <c r="K131" s="391"/>
      <c r="L131" s="391"/>
      <c r="M131" s="461"/>
      <c r="N131" s="591"/>
      <c r="O131" s="387"/>
    </row>
    <row r="132" spans="1:15" x14ac:dyDescent="0.3">
      <c r="A132" s="412"/>
      <c r="B132" s="413" t="s">
        <v>71</v>
      </c>
      <c r="C132" s="413"/>
      <c r="D132" s="413"/>
      <c r="E132" s="500"/>
      <c r="F132" s="413"/>
      <c r="G132" s="413"/>
      <c r="H132" s="413"/>
      <c r="I132" s="413"/>
      <c r="J132" s="413"/>
      <c r="K132" s="413"/>
      <c r="L132" s="413"/>
      <c r="M132" s="501" t="s">
        <v>136</v>
      </c>
      <c r="N132" s="437"/>
      <c r="O132" s="387"/>
    </row>
    <row r="133" spans="1:15" x14ac:dyDescent="0.3">
      <c r="A133" s="412"/>
      <c r="B133" s="413" t="s">
        <v>72</v>
      </c>
      <c r="C133" s="413"/>
      <c r="D133" s="413"/>
      <c r="E133" s="413"/>
      <c r="F133" s="413"/>
      <c r="G133" s="413"/>
      <c r="H133" s="413"/>
      <c r="I133" s="413"/>
      <c r="J133" s="413"/>
      <c r="K133" s="413"/>
      <c r="L133" s="413"/>
      <c r="M133" s="501" t="s">
        <v>136</v>
      </c>
      <c r="N133" s="437"/>
      <c r="O133" s="387"/>
    </row>
    <row r="134" spans="1:15" x14ac:dyDescent="0.3">
      <c r="A134" s="412"/>
      <c r="B134" s="413" t="s">
        <v>73</v>
      </c>
      <c r="C134" s="413"/>
      <c r="D134" s="413"/>
      <c r="E134" s="413"/>
      <c r="F134" s="413"/>
      <c r="G134" s="413"/>
      <c r="H134" s="413"/>
      <c r="I134" s="413"/>
      <c r="J134" s="413"/>
      <c r="K134" s="413"/>
      <c r="L134" s="413"/>
      <c r="M134" s="501" t="s">
        <v>136</v>
      </c>
      <c r="N134" s="437"/>
      <c r="O134" s="387"/>
    </row>
    <row r="135" spans="1:15" x14ac:dyDescent="0.3">
      <c r="A135" s="412"/>
      <c r="B135" s="413" t="s">
        <v>74</v>
      </c>
      <c r="C135" s="413"/>
      <c r="D135" s="413"/>
      <c r="E135" s="413"/>
      <c r="F135" s="413"/>
      <c r="G135" s="413"/>
      <c r="H135" s="413"/>
      <c r="I135" s="413"/>
      <c r="J135" s="413"/>
      <c r="K135" s="413"/>
      <c r="L135" s="413"/>
      <c r="M135" s="501" t="s">
        <v>136</v>
      </c>
      <c r="N135" s="437"/>
      <c r="O135" s="387"/>
    </row>
    <row r="136" spans="1:15" x14ac:dyDescent="0.3">
      <c r="A136" s="389"/>
      <c r="B136" s="448"/>
      <c r="C136" s="448"/>
      <c r="D136" s="448"/>
      <c r="E136" s="448"/>
      <c r="F136" s="448"/>
      <c r="G136" s="448"/>
      <c r="H136" s="448"/>
      <c r="I136" s="448"/>
      <c r="J136" s="448"/>
      <c r="K136" s="448"/>
      <c r="L136" s="448"/>
      <c r="M136" s="499"/>
      <c r="N136" s="591"/>
      <c r="O136" s="387"/>
    </row>
    <row r="137" spans="1:15" x14ac:dyDescent="0.3">
      <c r="A137" s="389"/>
      <c r="B137" s="498" t="s">
        <v>75</v>
      </c>
      <c r="C137" s="399"/>
      <c r="D137" s="399"/>
      <c r="E137" s="391"/>
      <c r="F137" s="391"/>
      <c r="G137" s="391"/>
      <c r="H137" s="391"/>
      <c r="I137" s="391"/>
      <c r="J137" s="391"/>
      <c r="K137" s="391"/>
      <c r="L137" s="391"/>
      <c r="M137" s="502"/>
      <c r="N137" s="591"/>
      <c r="O137" s="387"/>
    </row>
    <row r="138" spans="1:15" x14ac:dyDescent="0.3">
      <c r="A138" s="412"/>
      <c r="B138" s="413" t="s">
        <v>76</v>
      </c>
      <c r="C138" s="413"/>
      <c r="D138" s="413"/>
      <c r="E138" s="413"/>
      <c r="F138" s="413"/>
      <c r="G138" s="413"/>
      <c r="H138" s="413"/>
      <c r="I138" s="413"/>
      <c r="J138" s="413"/>
      <c r="K138" s="413"/>
      <c r="L138" s="413"/>
      <c r="M138" s="467">
        <v>0</v>
      </c>
      <c r="N138" s="437"/>
      <c r="O138" s="387"/>
    </row>
    <row r="139" spans="1:15" x14ac:dyDescent="0.3">
      <c r="A139" s="412"/>
      <c r="B139" s="413" t="s">
        <v>190</v>
      </c>
      <c r="C139" s="413"/>
      <c r="D139" s="413"/>
      <c r="E139" s="413"/>
      <c r="F139" s="413"/>
      <c r="G139" s="413"/>
      <c r="H139" s="413"/>
      <c r="I139" s="413"/>
      <c r="J139" s="413"/>
      <c r="K139" s="413"/>
      <c r="L139" s="413"/>
      <c r="M139" s="467">
        <v>-321</v>
      </c>
      <c r="N139" s="437"/>
      <c r="O139" s="387"/>
    </row>
    <row r="140" spans="1:15" x14ac:dyDescent="0.3">
      <c r="A140" s="412"/>
      <c r="B140" s="413" t="s">
        <v>180</v>
      </c>
      <c r="C140" s="413"/>
      <c r="D140" s="413"/>
      <c r="E140" s="413"/>
      <c r="F140" s="413"/>
      <c r="G140" s="413"/>
      <c r="H140" s="413"/>
      <c r="I140" s="413"/>
      <c r="J140" s="413"/>
      <c r="K140" s="413"/>
      <c r="L140" s="413"/>
      <c r="M140" s="467">
        <f>171+14</f>
        <v>185</v>
      </c>
      <c r="N140" s="437"/>
      <c r="O140" s="387"/>
    </row>
    <row r="141" spans="1:15" x14ac:dyDescent="0.3">
      <c r="A141" s="412"/>
      <c r="B141" s="413" t="s">
        <v>77</v>
      </c>
      <c r="C141" s="413"/>
      <c r="D141" s="413"/>
      <c r="E141" s="413"/>
      <c r="F141" s="413"/>
      <c r="G141" s="413"/>
      <c r="H141" s="413"/>
      <c r="I141" s="413"/>
      <c r="J141" s="413"/>
      <c r="K141" s="413"/>
      <c r="L141" s="413"/>
      <c r="M141" s="467">
        <f>M139+M138+M140</f>
        <v>-136</v>
      </c>
      <c r="N141" s="437"/>
      <c r="O141" s="387"/>
    </row>
    <row r="142" spans="1:15" x14ac:dyDescent="0.3">
      <c r="A142" s="412"/>
      <c r="B142" s="413" t="s">
        <v>183</v>
      </c>
      <c r="C142" s="413"/>
      <c r="D142" s="413"/>
      <c r="E142" s="413"/>
      <c r="F142" s="413"/>
      <c r="G142" s="413"/>
      <c r="H142" s="413"/>
      <c r="I142" s="444"/>
      <c r="J142" s="413"/>
      <c r="K142" s="413"/>
      <c r="L142" s="413"/>
      <c r="M142" s="467">
        <f>M97</f>
        <v>136</v>
      </c>
      <c r="N142" s="437"/>
      <c r="O142" s="387"/>
    </row>
    <row r="143" spans="1:15" x14ac:dyDescent="0.3">
      <c r="A143" s="412"/>
      <c r="B143" s="413" t="s">
        <v>78</v>
      </c>
      <c r="C143" s="413"/>
      <c r="D143" s="413"/>
      <c r="E143" s="413"/>
      <c r="F143" s="413"/>
      <c r="G143" s="413"/>
      <c r="H143" s="413"/>
      <c r="I143" s="413"/>
      <c r="J143" s="413"/>
      <c r="K143" s="413"/>
      <c r="L143" s="413"/>
      <c r="M143" s="467">
        <f>M141+M142</f>
        <v>0</v>
      </c>
      <c r="N143" s="437"/>
      <c r="O143" s="387"/>
    </row>
    <row r="144" spans="1:15" ht="16.2" thickBot="1" x14ac:dyDescent="0.35">
      <c r="A144" s="389"/>
      <c r="B144" s="448"/>
      <c r="C144" s="448"/>
      <c r="D144" s="448"/>
      <c r="E144" s="448"/>
      <c r="F144" s="448"/>
      <c r="G144" s="448"/>
      <c r="H144" s="448"/>
      <c r="I144" s="448"/>
      <c r="J144" s="448"/>
      <c r="K144" s="448"/>
      <c r="L144" s="448"/>
      <c r="M144" s="499"/>
      <c r="N144" s="591"/>
      <c r="O144" s="387"/>
    </row>
    <row r="145" spans="1:16" x14ac:dyDescent="0.3">
      <c r="A145" s="383"/>
      <c r="B145" s="386"/>
      <c r="C145" s="386"/>
      <c r="D145" s="386"/>
      <c r="E145" s="386"/>
      <c r="F145" s="386"/>
      <c r="G145" s="386"/>
      <c r="H145" s="386"/>
      <c r="I145" s="386"/>
      <c r="J145" s="386"/>
      <c r="K145" s="386"/>
      <c r="L145" s="386"/>
      <c r="M145" s="503"/>
      <c r="N145" s="590"/>
      <c r="O145" s="387"/>
    </row>
    <row r="146" spans="1:16" x14ac:dyDescent="0.3">
      <c r="A146" s="389"/>
      <c r="B146" s="498" t="s">
        <v>79</v>
      </c>
      <c r="C146" s="399"/>
      <c r="D146" s="399"/>
      <c r="E146" s="391"/>
      <c r="F146" s="391"/>
      <c r="G146" s="391"/>
      <c r="H146" s="391"/>
      <c r="I146" s="391"/>
      <c r="J146" s="391"/>
      <c r="K146" s="391"/>
      <c r="L146" s="391"/>
      <c r="M146" s="461"/>
      <c r="N146" s="591"/>
      <c r="O146" s="387"/>
    </row>
    <row r="147" spans="1:16" x14ac:dyDescent="0.3">
      <c r="A147" s="389"/>
      <c r="B147" s="497"/>
      <c r="C147" s="399"/>
      <c r="D147" s="399"/>
      <c r="E147" s="391"/>
      <c r="F147" s="391"/>
      <c r="G147" s="391"/>
      <c r="H147" s="391"/>
      <c r="I147" s="391"/>
      <c r="J147" s="391"/>
      <c r="K147" s="391"/>
      <c r="L147" s="391"/>
      <c r="M147" s="461"/>
      <c r="N147" s="591"/>
      <c r="O147" s="387"/>
    </row>
    <row r="148" spans="1:16" x14ac:dyDescent="0.3">
      <c r="A148" s="504"/>
      <c r="B148" s="505" t="s">
        <v>188</v>
      </c>
      <c r="C148" s="506"/>
      <c r="D148" s="506"/>
      <c r="E148" s="505"/>
      <c r="F148" s="505"/>
      <c r="G148" s="505"/>
      <c r="H148" s="505"/>
      <c r="I148" s="505"/>
      <c r="J148" s="505"/>
      <c r="K148" s="505"/>
      <c r="L148" s="505"/>
      <c r="M148" s="507">
        <f>+M62+M72+M73</f>
        <v>41212</v>
      </c>
      <c r="N148" s="508"/>
      <c r="O148" s="387"/>
      <c r="P148" s="472"/>
    </row>
    <row r="149" spans="1:16" x14ac:dyDescent="0.3">
      <c r="A149" s="412"/>
      <c r="B149" s="413" t="s">
        <v>80</v>
      </c>
      <c r="C149" s="419"/>
      <c r="D149" s="419"/>
      <c r="E149" s="413"/>
      <c r="F149" s="413"/>
      <c r="G149" s="413"/>
      <c r="H149" s="413"/>
      <c r="I149" s="413"/>
      <c r="J149" s="413"/>
      <c r="K149" s="413"/>
      <c r="L149" s="413"/>
      <c r="M149" s="467">
        <f>M75</f>
        <v>41212</v>
      </c>
      <c r="N149" s="437"/>
      <c r="O149" s="387"/>
    </row>
    <row r="150" spans="1:16" ht="16.2" thickBot="1" x14ac:dyDescent="0.35">
      <c r="A150" s="389"/>
      <c r="B150" s="448"/>
      <c r="C150" s="448"/>
      <c r="D150" s="448"/>
      <c r="E150" s="448"/>
      <c r="F150" s="448"/>
      <c r="G150" s="448"/>
      <c r="H150" s="448"/>
      <c r="I150" s="448"/>
      <c r="J150" s="448"/>
      <c r="K150" s="448"/>
      <c r="L150" s="448"/>
      <c r="M150" s="499"/>
      <c r="N150" s="591"/>
      <c r="O150" s="387"/>
    </row>
    <row r="151" spans="1:16" x14ac:dyDescent="0.3">
      <c r="A151" s="383"/>
      <c r="B151" s="386"/>
      <c r="C151" s="386"/>
      <c r="D151" s="386"/>
      <c r="E151" s="386"/>
      <c r="F151" s="386"/>
      <c r="G151" s="386"/>
      <c r="H151" s="386"/>
      <c r="I151" s="386"/>
      <c r="J151" s="386"/>
      <c r="K151" s="386"/>
      <c r="L151" s="386"/>
      <c r="M151" s="503"/>
      <c r="N151" s="590"/>
      <c r="O151" s="387"/>
    </row>
    <row r="152" spans="1:16" x14ac:dyDescent="0.3">
      <c r="A152" s="389"/>
      <c r="B152" s="498" t="s">
        <v>81</v>
      </c>
      <c r="C152" s="509"/>
      <c r="D152" s="509"/>
      <c r="E152" s="465"/>
      <c r="F152" s="465"/>
      <c r="G152" s="465"/>
      <c r="H152" s="465"/>
      <c r="I152" s="510" t="s">
        <v>127</v>
      </c>
      <c r="J152" s="510"/>
      <c r="K152" s="510" t="s">
        <v>134</v>
      </c>
      <c r="L152" s="393"/>
      <c r="M152" s="511" t="s">
        <v>144</v>
      </c>
      <c r="N152" s="596"/>
      <c r="O152" s="387"/>
    </row>
    <row r="153" spans="1:16" x14ac:dyDescent="0.3">
      <c r="A153" s="412"/>
      <c r="B153" s="413" t="s">
        <v>82</v>
      </c>
      <c r="C153" s="413"/>
      <c r="D153" s="413"/>
      <c r="E153" s="413"/>
      <c r="F153" s="413"/>
      <c r="G153" s="413"/>
      <c r="H153" s="413"/>
      <c r="I153" s="467">
        <v>15000</v>
      </c>
      <c r="J153" s="413"/>
      <c r="K153" s="512">
        <v>5000</v>
      </c>
      <c r="L153" s="413"/>
      <c r="M153" s="467">
        <v>15000</v>
      </c>
      <c r="N153" s="417"/>
      <c r="O153" s="387"/>
    </row>
    <row r="154" spans="1:16" x14ac:dyDescent="0.3">
      <c r="A154" s="412"/>
      <c r="B154" s="413" t="s">
        <v>83</v>
      </c>
      <c r="C154" s="413"/>
      <c r="D154" s="413"/>
      <c r="E154" s="413"/>
      <c r="F154" s="413"/>
      <c r="G154" s="413"/>
      <c r="H154" s="413"/>
      <c r="I154" s="467">
        <f>+'July 17'!I156</f>
        <v>7636</v>
      </c>
      <c r="J154" s="413"/>
      <c r="K154" s="467">
        <f>+'July 17'!K156</f>
        <v>0</v>
      </c>
      <c r="L154" s="413"/>
      <c r="M154" s="467">
        <f>K154+I154</f>
        <v>7636</v>
      </c>
      <c r="N154" s="417"/>
      <c r="O154" s="387"/>
    </row>
    <row r="155" spans="1:16" x14ac:dyDescent="0.3">
      <c r="A155" s="412"/>
      <c r="B155" s="413" t="s">
        <v>84</v>
      </c>
      <c r="C155" s="413"/>
      <c r="D155" s="413"/>
      <c r="E155" s="413"/>
      <c r="F155" s="413"/>
      <c r="G155" s="413"/>
      <c r="H155" s="413"/>
      <c r="I155" s="466">
        <v>0</v>
      </c>
      <c r="J155" s="413"/>
      <c r="K155" s="413">
        <v>0</v>
      </c>
      <c r="L155" s="413"/>
      <c r="M155" s="467">
        <f>K155+I155</f>
        <v>0</v>
      </c>
      <c r="N155" s="417"/>
      <c r="O155" s="387"/>
    </row>
    <row r="156" spans="1:16" x14ac:dyDescent="0.3">
      <c r="A156" s="412"/>
      <c r="B156" s="413" t="s">
        <v>85</v>
      </c>
      <c r="C156" s="413"/>
      <c r="D156" s="413"/>
      <c r="E156" s="413"/>
      <c r="F156" s="413"/>
      <c r="G156" s="413"/>
      <c r="H156" s="413"/>
      <c r="I156" s="467">
        <f>I154+I155</f>
        <v>7636</v>
      </c>
      <c r="J156" s="413"/>
      <c r="K156" s="467">
        <f>K155+K154</f>
        <v>0</v>
      </c>
      <c r="L156" s="413"/>
      <c r="M156" s="467">
        <f>K156+I156</f>
        <v>7636</v>
      </c>
      <c r="N156" s="417"/>
      <c r="O156" s="387"/>
    </row>
    <row r="157" spans="1:16" x14ac:dyDescent="0.3">
      <c r="A157" s="412"/>
      <c r="B157" s="413" t="s">
        <v>86</v>
      </c>
      <c r="C157" s="413"/>
      <c r="D157" s="413"/>
      <c r="E157" s="413"/>
      <c r="F157" s="413"/>
      <c r="G157" s="413"/>
      <c r="H157" s="413"/>
      <c r="I157" s="467">
        <f>I153-I156-K156</f>
        <v>7364</v>
      </c>
      <c r="J157" s="413"/>
      <c r="K157" s="441">
        <v>0</v>
      </c>
      <c r="L157" s="413"/>
      <c r="M157" s="467"/>
      <c r="N157" s="417"/>
      <c r="O157" s="387"/>
    </row>
    <row r="158" spans="1:16" ht="16.2" thickBot="1" x14ac:dyDescent="0.35">
      <c r="A158" s="389"/>
      <c r="B158" s="448"/>
      <c r="C158" s="448"/>
      <c r="D158" s="448"/>
      <c r="E158" s="448"/>
      <c r="F158" s="448"/>
      <c r="G158" s="448"/>
      <c r="H158" s="448"/>
      <c r="I158" s="448"/>
      <c r="J158" s="448"/>
      <c r="K158" s="448"/>
      <c r="L158" s="448"/>
      <c r="M158" s="499"/>
      <c r="N158" s="591"/>
      <c r="O158" s="387"/>
    </row>
    <row r="159" spans="1:16" x14ac:dyDescent="0.3">
      <c r="A159" s="383"/>
      <c r="B159" s="386"/>
      <c r="C159" s="386"/>
      <c r="D159" s="386"/>
      <c r="E159" s="386"/>
      <c r="F159" s="386"/>
      <c r="G159" s="386"/>
      <c r="H159" s="386"/>
      <c r="I159" s="386"/>
      <c r="J159" s="386"/>
      <c r="K159" s="386"/>
      <c r="L159" s="386"/>
      <c r="M159" s="503"/>
      <c r="N159" s="590"/>
      <c r="O159" s="387"/>
    </row>
    <row r="160" spans="1:16" x14ac:dyDescent="0.3">
      <c r="A160" s="389"/>
      <c r="B160" s="498" t="s">
        <v>87</v>
      </c>
      <c r="C160" s="399"/>
      <c r="D160" s="399"/>
      <c r="E160" s="391"/>
      <c r="F160" s="391"/>
      <c r="G160" s="391"/>
      <c r="H160" s="391"/>
      <c r="I160" s="391"/>
      <c r="J160" s="391"/>
      <c r="K160" s="391"/>
      <c r="L160" s="391"/>
      <c r="M160" s="513"/>
      <c r="N160" s="591"/>
      <c r="O160" s="387"/>
    </row>
    <row r="161" spans="1:15" x14ac:dyDescent="0.3">
      <c r="A161" s="412"/>
      <c r="B161" s="413" t="s">
        <v>88</v>
      </c>
      <c r="C161" s="413"/>
      <c r="D161" s="413"/>
      <c r="E161" s="413"/>
      <c r="F161" s="413"/>
      <c r="G161" s="413"/>
      <c r="H161" s="413"/>
      <c r="I161" s="413"/>
      <c r="J161" s="413"/>
      <c r="K161" s="413"/>
      <c r="L161" s="413"/>
      <c r="M161" s="514">
        <f>(M87+M89+M90+M91+M92)/-M93</f>
        <v>31.289473684210527</v>
      </c>
      <c r="N161" s="437" t="s">
        <v>145</v>
      </c>
      <c r="O161" s="387"/>
    </row>
    <row r="162" spans="1:15" x14ac:dyDescent="0.3">
      <c r="A162" s="412"/>
      <c r="B162" s="413" t="s">
        <v>89</v>
      </c>
      <c r="C162" s="413"/>
      <c r="D162" s="413"/>
      <c r="E162" s="413"/>
      <c r="F162" s="413"/>
      <c r="G162" s="413"/>
      <c r="H162" s="413"/>
      <c r="I162" s="413"/>
      <c r="J162" s="413"/>
      <c r="K162" s="413"/>
      <c r="L162" s="413"/>
      <c r="M162" s="515">
        <v>3.86</v>
      </c>
      <c r="N162" s="437" t="s">
        <v>145</v>
      </c>
      <c r="O162" s="387"/>
    </row>
    <row r="163" spans="1:15" x14ac:dyDescent="0.3">
      <c r="A163" s="412"/>
      <c r="B163" s="413" t="s">
        <v>90</v>
      </c>
      <c r="C163" s="413"/>
      <c r="D163" s="413"/>
      <c r="E163" s="413"/>
      <c r="F163" s="413"/>
      <c r="G163" s="413"/>
      <c r="H163" s="413"/>
      <c r="I163" s="413"/>
      <c r="J163" s="413"/>
      <c r="K163" s="413"/>
      <c r="L163" s="413"/>
      <c r="M163" s="514">
        <f>(M87+M89+M90+M91+M92+M93)/-M94</f>
        <v>19.844827586206897</v>
      </c>
      <c r="N163" s="437" t="s">
        <v>145</v>
      </c>
      <c r="O163" s="387"/>
    </row>
    <row r="164" spans="1:15" x14ac:dyDescent="0.3">
      <c r="A164" s="412"/>
      <c r="B164" s="413" t="s">
        <v>91</v>
      </c>
      <c r="C164" s="413"/>
      <c r="D164" s="413"/>
      <c r="E164" s="413"/>
      <c r="F164" s="413"/>
      <c r="G164" s="413"/>
      <c r="H164" s="413"/>
      <c r="I164" s="413"/>
      <c r="J164" s="413"/>
      <c r="K164" s="413"/>
      <c r="L164" s="413"/>
      <c r="M164" s="516">
        <v>10.19</v>
      </c>
      <c r="N164" s="437" t="s">
        <v>145</v>
      </c>
      <c r="O164" s="387"/>
    </row>
    <row r="165" spans="1:15" x14ac:dyDescent="0.3">
      <c r="A165" s="412"/>
      <c r="B165" s="413" t="s">
        <v>181</v>
      </c>
      <c r="C165" s="413"/>
      <c r="D165" s="413"/>
      <c r="E165" s="413"/>
      <c r="F165" s="413"/>
      <c r="G165" s="413"/>
      <c r="H165" s="413"/>
      <c r="I165" s="413"/>
      <c r="J165" s="413"/>
      <c r="K165" s="413"/>
      <c r="L165" s="413"/>
      <c r="M165" s="514">
        <f>(M87+M89+M90+M91+M92+M93+M94)/-M95</f>
        <v>22.770833333333332</v>
      </c>
      <c r="N165" s="437" t="s">
        <v>145</v>
      </c>
      <c r="O165" s="387"/>
    </row>
    <row r="166" spans="1:15" x14ac:dyDescent="0.3">
      <c r="A166" s="412"/>
      <c r="B166" s="413" t="s">
        <v>182</v>
      </c>
      <c r="C166" s="413"/>
      <c r="D166" s="413"/>
      <c r="E166" s="413"/>
      <c r="F166" s="413"/>
      <c r="G166" s="413"/>
      <c r="H166" s="413"/>
      <c r="I166" s="413"/>
      <c r="J166" s="413"/>
      <c r="K166" s="413"/>
      <c r="L166" s="413"/>
      <c r="M166" s="516">
        <v>12.95</v>
      </c>
      <c r="N166" s="437" t="s">
        <v>145</v>
      </c>
      <c r="O166" s="387"/>
    </row>
    <row r="167" spans="1:15" x14ac:dyDescent="0.3">
      <c r="A167" s="412"/>
      <c r="B167" s="416"/>
      <c r="C167" s="416"/>
      <c r="D167" s="416"/>
      <c r="E167" s="416"/>
      <c r="F167" s="416"/>
      <c r="G167" s="416"/>
      <c r="H167" s="416"/>
      <c r="I167" s="416"/>
      <c r="J167" s="416"/>
      <c r="K167" s="416"/>
      <c r="L167" s="416"/>
      <c r="M167" s="416"/>
      <c r="N167" s="417"/>
      <c r="O167" s="387"/>
    </row>
    <row r="168" spans="1:15" x14ac:dyDescent="0.3">
      <c r="A168" s="389"/>
      <c r="B168" s="448"/>
      <c r="C168" s="448"/>
      <c r="D168" s="448"/>
      <c r="E168" s="448"/>
      <c r="F168" s="448"/>
      <c r="G168" s="448"/>
      <c r="H168" s="448"/>
      <c r="I168" s="448"/>
      <c r="J168" s="448"/>
      <c r="K168" s="448"/>
      <c r="L168" s="448"/>
      <c r="M168" s="448"/>
      <c r="N168" s="591"/>
      <c r="O168" s="387"/>
    </row>
    <row r="169" spans="1:15" x14ac:dyDescent="0.3">
      <c r="A169" s="389"/>
      <c r="B169" s="391"/>
      <c r="C169" s="391"/>
      <c r="D169" s="391"/>
      <c r="E169" s="391"/>
      <c r="F169" s="391"/>
      <c r="G169" s="391"/>
      <c r="H169" s="391"/>
      <c r="I169" s="391"/>
      <c r="J169" s="391"/>
      <c r="K169" s="391"/>
      <c r="L169" s="391"/>
      <c r="M169" s="391"/>
      <c r="N169" s="591"/>
      <c r="O169" s="387"/>
    </row>
    <row r="170" spans="1:15" ht="18.600000000000001" thickBot="1" x14ac:dyDescent="0.4">
      <c r="A170" s="453"/>
      <c r="B170" s="454" t="str">
        <f>B114</f>
        <v>PSF1 INVESTOR REPORT QUARTER ENDING OCTOBER 2017</v>
      </c>
      <c r="C170" s="455"/>
      <c r="D170" s="455"/>
      <c r="E170" s="455"/>
      <c r="F170" s="455"/>
      <c r="G170" s="455"/>
      <c r="H170" s="455"/>
      <c r="I170" s="455"/>
      <c r="J170" s="455"/>
      <c r="K170" s="455"/>
      <c r="L170" s="455"/>
      <c r="M170" s="455"/>
      <c r="N170" s="457"/>
      <c r="O170" s="387"/>
    </row>
    <row r="171" spans="1:15" x14ac:dyDescent="0.3">
      <c r="A171" s="517"/>
      <c r="B171" s="493" t="s">
        <v>92</v>
      </c>
      <c r="C171" s="518"/>
      <c r="D171" s="518"/>
      <c r="E171" s="518"/>
      <c r="F171" s="518"/>
      <c r="G171" s="518"/>
      <c r="H171" s="519"/>
      <c r="I171" s="519"/>
      <c r="J171" s="519"/>
      <c r="K171" s="519">
        <v>43039</v>
      </c>
      <c r="L171" s="520"/>
      <c r="M171" s="520"/>
      <c r="N171" s="597"/>
      <c r="O171" s="387"/>
    </row>
    <row r="172" spans="1:15" x14ac:dyDescent="0.3">
      <c r="A172" s="521"/>
      <c r="B172" s="522"/>
      <c r="C172" s="523"/>
      <c r="D172" s="523"/>
      <c r="E172" s="523"/>
      <c r="F172" s="523"/>
      <c r="G172" s="523"/>
      <c r="H172" s="524"/>
      <c r="I172" s="524"/>
      <c r="J172" s="524"/>
      <c r="K172" s="524"/>
      <c r="L172" s="391"/>
      <c r="M172" s="391"/>
      <c r="N172" s="591"/>
      <c r="O172" s="387"/>
    </row>
    <row r="173" spans="1:15" x14ac:dyDescent="0.3">
      <c r="A173" s="525"/>
      <c r="B173" s="413" t="s">
        <v>93</v>
      </c>
      <c r="C173" s="526"/>
      <c r="D173" s="526"/>
      <c r="E173" s="526"/>
      <c r="F173" s="526"/>
      <c r="G173" s="526"/>
      <c r="H173" s="444"/>
      <c r="I173" s="444"/>
      <c r="J173" s="444"/>
      <c r="K173" s="439">
        <v>9.4600000000000004E-2</v>
      </c>
      <c r="L173" s="413"/>
      <c r="M173" s="424"/>
      <c r="N173" s="437"/>
      <c r="O173" s="387"/>
    </row>
    <row r="174" spans="1:15" x14ac:dyDescent="0.3">
      <c r="A174" s="525"/>
      <c r="B174" s="413" t="s">
        <v>94</v>
      </c>
      <c r="C174" s="526"/>
      <c r="D174" s="526"/>
      <c r="E174" s="526"/>
      <c r="F174" s="526"/>
      <c r="G174" s="526"/>
      <c r="H174" s="444"/>
      <c r="I174" s="444"/>
      <c r="J174" s="444"/>
      <c r="K174" s="439">
        <v>5.2327499999999992E-2</v>
      </c>
      <c r="L174" s="413"/>
      <c r="M174" s="424"/>
      <c r="N174" s="437"/>
      <c r="O174" s="387"/>
    </row>
    <row r="175" spans="1:15" x14ac:dyDescent="0.3">
      <c r="A175" s="525"/>
      <c r="B175" s="413" t="s">
        <v>95</v>
      </c>
      <c r="C175" s="526"/>
      <c r="D175" s="526"/>
      <c r="E175" s="526"/>
      <c r="F175" s="526"/>
      <c r="G175" s="526"/>
      <c r="H175" s="444"/>
      <c r="I175" s="444"/>
      <c r="J175" s="444"/>
      <c r="K175" s="439">
        <f>K173-K174</f>
        <v>4.2272500000000011E-2</v>
      </c>
      <c r="L175" s="413"/>
      <c r="M175" s="424"/>
      <c r="N175" s="437"/>
      <c r="O175" s="387"/>
    </row>
    <row r="176" spans="1:15" x14ac:dyDescent="0.3">
      <c r="A176" s="525"/>
      <c r="B176" s="413" t="s">
        <v>96</v>
      </c>
      <c r="C176" s="526"/>
      <c r="D176" s="526"/>
      <c r="E176" s="526"/>
      <c r="F176" s="526"/>
      <c r="G176" s="526"/>
      <c r="H176" s="444"/>
      <c r="I176" s="444"/>
      <c r="J176" s="444"/>
      <c r="K176" s="439">
        <v>9.4700000000000006E-2</v>
      </c>
      <c r="L176" s="413"/>
      <c r="M176" s="424"/>
      <c r="N176" s="437"/>
      <c r="O176" s="387"/>
    </row>
    <row r="177" spans="1:15" x14ac:dyDescent="0.3">
      <c r="A177" s="525"/>
      <c r="B177" s="413" t="s">
        <v>97</v>
      </c>
      <c r="C177" s="526"/>
      <c r="D177" s="526"/>
      <c r="E177" s="526"/>
      <c r="F177" s="526"/>
      <c r="G177" s="526"/>
      <c r="H177" s="444"/>
      <c r="I177" s="444"/>
      <c r="J177" s="444"/>
      <c r="K177" s="439">
        <f>M36</f>
        <v>1.3124950827015511E-2</v>
      </c>
      <c r="L177" s="413"/>
      <c r="M177" s="424"/>
      <c r="N177" s="437"/>
      <c r="O177" s="387"/>
    </row>
    <row r="178" spans="1:15" x14ac:dyDescent="0.3">
      <c r="A178" s="525"/>
      <c r="B178" s="413" t="s">
        <v>98</v>
      </c>
      <c r="C178" s="526"/>
      <c r="D178" s="526"/>
      <c r="E178" s="526"/>
      <c r="F178" s="526"/>
      <c r="G178" s="526"/>
      <c r="H178" s="444"/>
      <c r="I178" s="444"/>
      <c r="J178" s="444"/>
      <c r="K178" s="439">
        <f>K176-K177</f>
        <v>8.1575049172984498E-2</v>
      </c>
      <c r="L178" s="413"/>
      <c r="M178" s="424"/>
      <c r="N178" s="437"/>
      <c r="O178" s="387"/>
    </row>
    <row r="179" spans="1:15" x14ac:dyDescent="0.3">
      <c r="A179" s="525"/>
      <c r="B179" s="413" t="s">
        <v>211</v>
      </c>
      <c r="C179" s="526"/>
      <c r="D179" s="526"/>
      <c r="E179" s="526"/>
      <c r="F179" s="526"/>
      <c r="G179" s="526"/>
      <c r="H179" s="444"/>
      <c r="I179" s="444"/>
      <c r="J179" s="444"/>
      <c r="K179" s="439">
        <f>(+M87+M89)/E58</f>
        <v>2.7989938257489137E-2</v>
      </c>
      <c r="L179" s="413"/>
      <c r="M179" s="424"/>
      <c r="N179" s="437"/>
      <c r="O179" s="387"/>
    </row>
    <row r="180" spans="1:15" x14ac:dyDescent="0.3">
      <c r="A180" s="525"/>
      <c r="B180" s="413" t="s">
        <v>99</v>
      </c>
      <c r="C180" s="526"/>
      <c r="D180" s="526"/>
      <c r="E180" s="526"/>
      <c r="F180" s="526"/>
      <c r="G180" s="526"/>
      <c r="H180" s="444"/>
      <c r="I180" s="444"/>
      <c r="J180" s="444"/>
      <c r="K180" s="527">
        <v>49628</v>
      </c>
      <c r="L180" s="413"/>
      <c r="M180" s="424"/>
      <c r="N180" s="437"/>
      <c r="O180" s="387"/>
    </row>
    <row r="181" spans="1:15" x14ac:dyDescent="0.3">
      <c r="A181" s="525"/>
      <c r="B181" s="413" t="s">
        <v>100</v>
      </c>
      <c r="C181" s="526"/>
      <c r="D181" s="526"/>
      <c r="E181" s="526"/>
      <c r="F181" s="526"/>
      <c r="G181" s="526"/>
      <c r="H181" s="444"/>
      <c r="I181" s="444"/>
      <c r="J181" s="444"/>
      <c r="K181" s="527">
        <v>49628</v>
      </c>
      <c r="L181" s="413"/>
      <c r="M181" s="424"/>
      <c r="N181" s="437"/>
      <c r="O181" s="387"/>
    </row>
    <row r="182" spans="1:15" x14ac:dyDescent="0.3">
      <c r="A182" s="525"/>
      <c r="B182" s="413" t="s">
        <v>165</v>
      </c>
      <c r="C182" s="526"/>
      <c r="D182" s="526"/>
      <c r="E182" s="526"/>
      <c r="F182" s="526"/>
      <c r="G182" s="526"/>
      <c r="H182" s="444"/>
      <c r="I182" s="444"/>
      <c r="J182" s="444"/>
      <c r="K182" s="527">
        <v>49628</v>
      </c>
      <c r="L182" s="413"/>
      <c r="M182" s="424"/>
      <c r="N182" s="437"/>
      <c r="O182" s="387"/>
    </row>
    <row r="183" spans="1:15" x14ac:dyDescent="0.3">
      <c r="A183" s="525"/>
      <c r="B183" s="413" t="s">
        <v>101</v>
      </c>
      <c r="C183" s="526"/>
      <c r="D183" s="526"/>
      <c r="E183" s="526"/>
      <c r="F183" s="526"/>
      <c r="G183" s="526"/>
      <c r="H183" s="444"/>
      <c r="I183" s="444"/>
      <c r="J183" s="444"/>
      <c r="K183" s="443">
        <v>15.78</v>
      </c>
      <c r="L183" s="413" t="s">
        <v>139</v>
      </c>
      <c r="M183" s="424"/>
      <c r="N183" s="437"/>
      <c r="O183" s="387"/>
    </row>
    <row r="184" spans="1:15" x14ac:dyDescent="0.3">
      <c r="A184" s="525"/>
      <c r="B184" s="413" t="s">
        <v>102</v>
      </c>
      <c r="C184" s="526"/>
      <c r="D184" s="526"/>
      <c r="E184" s="526"/>
      <c r="F184" s="526"/>
      <c r="G184" s="526"/>
      <c r="H184" s="444"/>
      <c r="I184" s="444"/>
      <c r="J184" s="444"/>
      <c r="K184" s="443">
        <v>10.11</v>
      </c>
      <c r="L184" s="413" t="s">
        <v>139</v>
      </c>
      <c r="M184" s="424"/>
      <c r="N184" s="437"/>
      <c r="O184" s="387"/>
    </row>
    <row r="185" spans="1:15" x14ac:dyDescent="0.3">
      <c r="A185" s="525"/>
      <c r="B185" s="413" t="s">
        <v>103</v>
      </c>
      <c r="C185" s="526"/>
      <c r="D185" s="526"/>
      <c r="E185" s="526"/>
      <c r="F185" s="526"/>
      <c r="G185" s="526"/>
      <c r="H185" s="444"/>
      <c r="I185" s="444"/>
      <c r="J185" s="444"/>
      <c r="K185" s="439">
        <f>K80/E58</f>
        <v>6.0690601417790993E-2</v>
      </c>
      <c r="L185" s="413"/>
      <c r="M185" s="424"/>
      <c r="N185" s="437"/>
      <c r="O185" s="387"/>
    </row>
    <row r="186" spans="1:15" x14ac:dyDescent="0.3">
      <c r="A186" s="525"/>
      <c r="B186" s="413" t="s">
        <v>104</v>
      </c>
      <c r="C186" s="526"/>
      <c r="D186" s="526"/>
      <c r="E186" s="526"/>
      <c r="F186" s="526"/>
      <c r="G186" s="526"/>
      <c r="H186" s="444"/>
      <c r="I186" s="444"/>
      <c r="J186" s="444"/>
      <c r="K186" s="439">
        <v>0.223</v>
      </c>
      <c r="L186" s="413"/>
      <c r="M186" s="424"/>
      <c r="N186" s="437"/>
      <c r="O186" s="387"/>
    </row>
    <row r="187" spans="1:15" x14ac:dyDescent="0.3">
      <c r="A187" s="521"/>
      <c r="B187" s="475"/>
      <c r="C187" s="475"/>
      <c r="D187" s="475"/>
      <c r="E187" s="475"/>
      <c r="F187" s="475"/>
      <c r="G187" s="475"/>
      <c r="H187" s="475"/>
      <c r="I187" s="475"/>
      <c r="J187" s="475"/>
      <c r="K187" s="528"/>
      <c r="L187" s="475"/>
      <c r="M187" s="529"/>
      <c r="N187" s="594"/>
      <c r="O187" s="387"/>
    </row>
    <row r="188" spans="1:15" x14ac:dyDescent="0.3">
      <c r="A188" s="530"/>
      <c r="B188" s="583" t="s">
        <v>105</v>
      </c>
      <c r="C188" s="584"/>
      <c r="D188" s="584"/>
      <c r="E188" s="585"/>
      <c r="F188" s="584"/>
      <c r="G188" s="585"/>
      <c r="H188" s="584"/>
      <c r="I188" s="585"/>
      <c r="J188" s="584" t="s">
        <v>128</v>
      </c>
      <c r="K188" s="585" t="s">
        <v>135</v>
      </c>
      <c r="L188" s="576"/>
      <c r="M188" s="576"/>
      <c r="N188" s="579"/>
      <c r="O188" s="387"/>
    </row>
    <row r="189" spans="1:15" x14ac:dyDescent="0.3">
      <c r="A189" s="548"/>
      <c r="B189" s="473" t="s">
        <v>106</v>
      </c>
      <c r="C189" s="474"/>
      <c r="D189" s="474"/>
      <c r="E189" s="474"/>
      <c r="F189" s="474"/>
      <c r="G189" s="473"/>
      <c r="H189" s="473"/>
      <c r="I189" s="473"/>
      <c r="J189" s="580">
        <v>274</v>
      </c>
      <c r="K189" s="581">
        <v>5661</v>
      </c>
      <c r="L189" s="475"/>
      <c r="M189" s="582"/>
      <c r="N189" s="598"/>
      <c r="O189" s="387"/>
    </row>
    <row r="190" spans="1:15" x14ac:dyDescent="0.3">
      <c r="A190" s="531"/>
      <c r="B190" s="413" t="s">
        <v>196</v>
      </c>
      <c r="C190" s="466"/>
      <c r="D190" s="466"/>
      <c r="E190" s="466"/>
      <c r="F190" s="466"/>
      <c r="G190" s="413"/>
      <c r="H190" s="413"/>
      <c r="I190" s="413"/>
      <c r="J190" s="422">
        <v>0</v>
      </c>
      <c r="K190" s="532">
        <v>0</v>
      </c>
      <c r="L190" s="424"/>
      <c r="M190" s="533"/>
      <c r="N190" s="534"/>
      <c r="O190" s="387"/>
    </row>
    <row r="191" spans="1:15" x14ac:dyDescent="0.3">
      <c r="A191" s="531"/>
      <c r="B191" s="431" t="s">
        <v>107</v>
      </c>
      <c r="C191" s="535"/>
      <c r="D191" s="535"/>
      <c r="E191" s="535"/>
      <c r="F191" s="535"/>
      <c r="G191" s="416"/>
      <c r="H191" s="416"/>
      <c r="I191" s="416"/>
      <c r="J191" s="416"/>
      <c r="K191" s="532">
        <v>0</v>
      </c>
      <c r="L191" s="416"/>
      <c r="M191" s="536"/>
      <c r="N191" s="537"/>
      <c r="O191" s="387"/>
    </row>
    <row r="192" spans="1:15" x14ac:dyDescent="0.3">
      <c r="A192" s="531"/>
      <c r="B192" s="431" t="s">
        <v>240</v>
      </c>
      <c r="C192" s="535"/>
      <c r="D192" s="535"/>
      <c r="E192" s="535"/>
      <c r="F192" s="535"/>
      <c r="G192" s="416"/>
      <c r="H192" s="416"/>
      <c r="I192" s="416"/>
      <c r="J192" s="416"/>
      <c r="K192" s="532">
        <f>+I58</f>
        <v>0</v>
      </c>
      <c r="L192" s="416"/>
      <c r="M192" s="536"/>
      <c r="N192" s="537"/>
      <c r="O192" s="387"/>
    </row>
    <row r="193" spans="1:15" x14ac:dyDescent="0.3">
      <c r="A193" s="538"/>
      <c r="B193" s="431" t="s">
        <v>109</v>
      </c>
      <c r="C193" s="535"/>
      <c r="D193" s="535"/>
      <c r="E193" s="539"/>
      <c r="F193" s="539"/>
      <c r="G193" s="539"/>
      <c r="H193" s="416"/>
      <c r="I193" s="416"/>
      <c r="J193" s="416"/>
      <c r="K193" s="540"/>
      <c r="L193" s="416"/>
      <c r="M193" s="536"/>
      <c r="N193" s="541"/>
      <c r="O193" s="387"/>
    </row>
    <row r="194" spans="1:15" x14ac:dyDescent="0.3">
      <c r="A194" s="538"/>
      <c r="B194" s="413" t="s">
        <v>110</v>
      </c>
      <c r="C194" s="466"/>
      <c r="D194" s="466"/>
      <c r="E194" s="413"/>
      <c r="F194" s="413"/>
      <c r="G194" s="413"/>
      <c r="H194" s="413"/>
      <c r="I194" s="413"/>
      <c r="J194" s="413"/>
      <c r="K194" s="532">
        <f>+M141</f>
        <v>-136</v>
      </c>
      <c r="L194" s="424"/>
      <c r="M194" s="536"/>
      <c r="N194" s="541"/>
      <c r="O194" s="387"/>
    </row>
    <row r="195" spans="1:15" x14ac:dyDescent="0.3">
      <c r="A195" s="531"/>
      <c r="B195" s="413" t="s">
        <v>111</v>
      </c>
      <c r="C195" s="466"/>
      <c r="D195" s="466"/>
      <c r="E195" s="466"/>
      <c r="F195" s="466"/>
      <c r="G195" s="466"/>
      <c r="H195" s="413"/>
      <c r="I195" s="413"/>
      <c r="J195" s="413"/>
      <c r="K195" s="532">
        <f>'July 17'!K195+'Oct 17'!K194</f>
        <v>36847</v>
      </c>
      <c r="L195" s="424"/>
      <c r="M195" s="536"/>
      <c r="N195" s="541"/>
      <c r="O195" s="387"/>
    </row>
    <row r="196" spans="1:15" x14ac:dyDescent="0.3">
      <c r="A196" s="531"/>
      <c r="B196" s="413" t="s">
        <v>112</v>
      </c>
      <c r="C196" s="466"/>
      <c r="D196" s="466"/>
      <c r="E196" s="466"/>
      <c r="F196" s="466"/>
      <c r="G196" s="466"/>
      <c r="H196" s="413"/>
      <c r="I196" s="413"/>
      <c r="J196" s="413"/>
      <c r="K196" s="532">
        <f>'July 17'!K196+503</f>
        <v>18060</v>
      </c>
      <c r="L196" s="424"/>
      <c r="M196" s="536"/>
      <c r="N196" s="541"/>
      <c r="O196" s="387"/>
    </row>
    <row r="197" spans="1:15" x14ac:dyDescent="0.3">
      <c r="A197" s="538"/>
      <c r="B197" s="431" t="s">
        <v>241</v>
      </c>
      <c r="C197" s="535"/>
      <c r="D197" s="535"/>
      <c r="E197" s="539"/>
      <c r="F197" s="539"/>
      <c r="G197" s="539"/>
      <c r="H197" s="416"/>
      <c r="I197" s="416"/>
      <c r="J197" s="416"/>
      <c r="K197" s="540"/>
      <c r="L197" s="416"/>
      <c r="M197" s="536"/>
      <c r="N197" s="541"/>
      <c r="O197" s="387"/>
    </row>
    <row r="198" spans="1:15" x14ac:dyDescent="0.3">
      <c r="A198" s="538"/>
      <c r="B198" s="413" t="s">
        <v>236</v>
      </c>
      <c r="C198" s="466"/>
      <c r="D198" s="466"/>
      <c r="E198" s="413"/>
      <c r="F198" s="413"/>
      <c r="G198" s="413"/>
      <c r="H198" s="413"/>
      <c r="I198" s="413"/>
      <c r="J198" s="413"/>
      <c r="K198" s="532">
        <v>0</v>
      </c>
      <c r="L198" s="424"/>
      <c r="M198" s="533"/>
      <c r="N198" s="541"/>
      <c r="O198" s="387"/>
    </row>
    <row r="199" spans="1:15" x14ac:dyDescent="0.3">
      <c r="A199" s="531"/>
      <c r="B199" s="413" t="s">
        <v>113</v>
      </c>
      <c r="C199" s="466"/>
      <c r="D199" s="466"/>
      <c r="E199" s="441"/>
      <c r="F199" s="441"/>
      <c r="G199" s="542"/>
      <c r="H199" s="413"/>
      <c r="I199" s="413"/>
      <c r="J199" s="413"/>
      <c r="K199" s="501">
        <v>0</v>
      </c>
      <c r="L199" s="424"/>
      <c r="M199" s="533"/>
      <c r="N199" s="541"/>
      <c r="O199" s="387"/>
    </row>
    <row r="200" spans="1:15" x14ac:dyDescent="0.3">
      <c r="A200" s="531"/>
      <c r="B200" s="413" t="s">
        <v>114</v>
      </c>
      <c r="C200" s="466"/>
      <c r="D200" s="466"/>
      <c r="E200" s="441"/>
      <c r="F200" s="441"/>
      <c r="G200" s="542"/>
      <c r="H200" s="413"/>
      <c r="I200" s="413"/>
      <c r="J200" s="413"/>
      <c r="K200" s="501">
        <v>0</v>
      </c>
      <c r="L200" s="424"/>
      <c r="M200" s="533"/>
      <c r="N200" s="541"/>
      <c r="O200" s="387"/>
    </row>
    <row r="201" spans="1:15" x14ac:dyDescent="0.3">
      <c r="A201" s="531"/>
      <c r="B201" s="539"/>
      <c r="C201" s="535"/>
      <c r="D201" s="535"/>
      <c r="E201" s="543"/>
      <c r="F201" s="544"/>
      <c r="G201" s="545"/>
      <c r="H201" s="416"/>
      <c r="I201" s="416"/>
      <c r="J201" s="416"/>
      <c r="K201" s="546"/>
      <c r="L201" s="416"/>
      <c r="M201" s="536"/>
      <c r="N201" s="541"/>
      <c r="O201" s="387"/>
    </row>
    <row r="202" spans="1:15" ht="18" x14ac:dyDescent="0.35">
      <c r="A202" s="531"/>
      <c r="B202" s="547" t="s">
        <v>200</v>
      </c>
      <c r="C202" s="535"/>
      <c r="D202" s="535"/>
      <c r="E202" s="543"/>
      <c r="F202" s="544"/>
      <c r="G202" s="545"/>
      <c r="H202" s="416"/>
      <c r="I202" s="416"/>
      <c r="J202" s="416"/>
      <c r="K202" s="569" t="s">
        <v>286</v>
      </c>
      <c r="L202" s="416"/>
      <c r="M202" s="536"/>
      <c r="N202" s="541"/>
      <c r="O202" s="387"/>
    </row>
    <row r="203" spans="1:15" x14ac:dyDescent="0.3">
      <c r="A203" s="548"/>
      <c r="B203" s="549"/>
      <c r="C203" s="469"/>
      <c r="D203" s="469"/>
      <c r="E203" s="550"/>
      <c r="F203" s="551"/>
      <c r="G203" s="552"/>
      <c r="H203" s="448"/>
      <c r="I203" s="448"/>
      <c r="J203" s="448"/>
      <c r="K203" s="553"/>
      <c r="L203" s="448"/>
      <c r="M203" s="554"/>
      <c r="N203" s="599"/>
      <c r="O203" s="387"/>
    </row>
    <row r="204" spans="1:15" x14ac:dyDescent="0.3">
      <c r="A204" s="410"/>
      <c r="B204" s="583" t="s">
        <v>115</v>
      </c>
      <c r="C204" s="584"/>
      <c r="D204" s="584"/>
      <c r="E204" s="585"/>
      <c r="F204" s="584"/>
      <c r="G204" s="585"/>
      <c r="H204" s="584"/>
      <c r="I204" s="585" t="s">
        <v>128</v>
      </c>
      <c r="J204" s="584" t="s">
        <v>129</v>
      </c>
      <c r="K204" s="585" t="s">
        <v>137</v>
      </c>
      <c r="L204" s="584" t="s">
        <v>129</v>
      </c>
      <c r="M204" s="576"/>
      <c r="N204" s="589"/>
      <c r="O204" s="387"/>
    </row>
    <row r="205" spans="1:15" x14ac:dyDescent="0.3">
      <c r="A205" s="561"/>
      <c r="B205" s="474" t="s">
        <v>116</v>
      </c>
      <c r="C205" s="586"/>
      <c r="D205" s="586"/>
      <c r="E205" s="474"/>
      <c r="F205" s="586"/>
      <c r="G205" s="473"/>
      <c r="H205" s="586"/>
      <c r="I205" s="474">
        <v>1965</v>
      </c>
      <c r="J205" s="587">
        <f>I205/I213</f>
        <v>0.87762393925859761</v>
      </c>
      <c r="K205" s="563">
        <v>35551</v>
      </c>
      <c r="L205" s="587">
        <f>K205/K213</f>
        <v>0.86263709599145877</v>
      </c>
      <c r="M205" s="588"/>
      <c r="N205" s="600"/>
      <c r="O205" s="387"/>
    </row>
    <row r="206" spans="1:15" x14ac:dyDescent="0.3">
      <c r="A206" s="555"/>
      <c r="B206" s="466" t="s">
        <v>117</v>
      </c>
      <c r="C206" s="556"/>
      <c r="D206" s="556"/>
      <c r="E206" s="466"/>
      <c r="F206" s="556"/>
      <c r="G206" s="413"/>
      <c r="H206" s="557"/>
      <c r="I206" s="466">
        <v>60</v>
      </c>
      <c r="J206" s="557">
        <f>I206/I213</f>
        <v>2.6797677534613668E-2</v>
      </c>
      <c r="K206" s="467">
        <v>1186</v>
      </c>
      <c r="L206" s="557">
        <f>K206/K213</f>
        <v>2.8778025817722992E-2</v>
      </c>
      <c r="M206" s="558"/>
      <c r="N206" s="534"/>
      <c r="O206" s="387"/>
    </row>
    <row r="207" spans="1:15" x14ac:dyDescent="0.3">
      <c r="A207" s="555"/>
      <c r="B207" s="466" t="s">
        <v>118</v>
      </c>
      <c r="C207" s="556"/>
      <c r="D207" s="556"/>
      <c r="E207" s="466"/>
      <c r="F207" s="556"/>
      <c r="G207" s="466"/>
      <c r="H207" s="557"/>
      <c r="I207" s="466">
        <v>29</v>
      </c>
      <c r="J207" s="557">
        <f>I207/I213</f>
        <v>1.2952210808396605E-2</v>
      </c>
      <c r="K207" s="467">
        <v>586</v>
      </c>
      <c r="L207" s="557">
        <f>K207/K213</f>
        <v>1.4219159468116083E-2</v>
      </c>
      <c r="M207" s="559"/>
      <c r="N207" s="534"/>
      <c r="O207" s="387"/>
    </row>
    <row r="208" spans="1:15" x14ac:dyDescent="0.3">
      <c r="A208" s="555"/>
      <c r="B208" s="466" t="s">
        <v>167</v>
      </c>
      <c r="C208" s="556"/>
      <c r="D208" s="556"/>
      <c r="E208" s="466"/>
      <c r="F208" s="556"/>
      <c r="G208" s="466"/>
      <c r="H208" s="557"/>
      <c r="I208" s="466">
        <v>24</v>
      </c>
      <c r="J208" s="557">
        <f>I208/I213</f>
        <v>1.0719071013845467E-2</v>
      </c>
      <c r="K208" s="467">
        <v>460</v>
      </c>
      <c r="L208" s="557">
        <f>K208/K213</f>
        <v>1.1161797534698632E-2</v>
      </c>
      <c r="M208" s="559"/>
      <c r="N208" s="534"/>
      <c r="O208" s="387"/>
    </row>
    <row r="209" spans="1:15" x14ac:dyDescent="0.3">
      <c r="A209" s="555"/>
      <c r="B209" s="466" t="s">
        <v>168</v>
      </c>
      <c r="C209" s="556"/>
      <c r="D209" s="556"/>
      <c r="E209" s="466"/>
      <c r="F209" s="556"/>
      <c r="G209" s="413"/>
      <c r="H209" s="557"/>
      <c r="I209" s="466">
        <v>23</v>
      </c>
      <c r="J209" s="557">
        <f>I209/I213</f>
        <v>1.027244305493524E-2</v>
      </c>
      <c r="K209" s="467">
        <v>480</v>
      </c>
      <c r="L209" s="557">
        <f>K209/K213</f>
        <v>1.1647093079685528E-2</v>
      </c>
      <c r="M209" s="559"/>
      <c r="N209" s="534"/>
      <c r="O209" s="387"/>
    </row>
    <row r="210" spans="1:15" x14ac:dyDescent="0.3">
      <c r="A210" s="555"/>
      <c r="B210" s="466" t="s">
        <v>169</v>
      </c>
      <c r="C210" s="556"/>
      <c r="D210" s="556"/>
      <c r="E210" s="466"/>
      <c r="F210" s="556"/>
      <c r="G210" s="413"/>
      <c r="H210" s="557"/>
      <c r="I210" s="466">
        <v>23</v>
      </c>
      <c r="J210" s="557">
        <f>I210/I213</f>
        <v>1.027244305493524E-2</v>
      </c>
      <c r="K210" s="467">
        <v>403</v>
      </c>
      <c r="L210" s="557">
        <f>K210/K213</f>
        <v>9.7787052314859749E-3</v>
      </c>
      <c r="M210" s="559"/>
      <c r="N210" s="560"/>
      <c r="O210" s="387"/>
    </row>
    <row r="211" spans="1:15" x14ac:dyDescent="0.3">
      <c r="A211" s="555"/>
      <c r="B211" s="466" t="s">
        <v>176</v>
      </c>
      <c r="C211" s="556"/>
      <c r="D211" s="556"/>
      <c r="E211" s="466"/>
      <c r="F211" s="556"/>
      <c r="G211" s="413"/>
      <c r="H211" s="557"/>
      <c r="I211" s="466">
        <v>65</v>
      </c>
      <c r="J211" s="557">
        <f>I211/I213</f>
        <v>2.9030817329164807E-2</v>
      </c>
      <c r="K211" s="467">
        <v>1446</v>
      </c>
      <c r="L211" s="557">
        <f>K211/K213</f>
        <v>3.5086867902552651E-2</v>
      </c>
      <c r="M211" s="558"/>
      <c r="N211" s="534"/>
      <c r="O211" s="387"/>
    </row>
    <row r="212" spans="1:15" x14ac:dyDescent="0.3">
      <c r="A212" s="555"/>
      <c r="B212" s="466" t="s">
        <v>202</v>
      </c>
      <c r="C212" s="556"/>
      <c r="D212" s="556"/>
      <c r="E212" s="466"/>
      <c r="F212" s="556"/>
      <c r="G212" s="413"/>
      <c r="H212" s="557"/>
      <c r="I212" s="466">
        <v>50</v>
      </c>
      <c r="J212" s="557">
        <f>+I212/I213</f>
        <v>2.2331397945511387E-2</v>
      </c>
      <c r="K212" s="467">
        <v>1100</v>
      </c>
      <c r="L212" s="557">
        <f>+K212/K213</f>
        <v>2.6691254974279335E-2</v>
      </c>
      <c r="M212" s="558"/>
      <c r="N212" s="534"/>
      <c r="O212" s="387"/>
    </row>
    <row r="213" spans="1:15" x14ac:dyDescent="0.3">
      <c r="A213" s="555"/>
      <c r="B213" s="413" t="s">
        <v>189</v>
      </c>
      <c r="C213" s="413"/>
      <c r="D213" s="413"/>
      <c r="E213" s="413"/>
      <c r="F213" s="413"/>
      <c r="G213" s="466"/>
      <c r="H213" s="413"/>
      <c r="I213" s="466">
        <f>SUM(I205:I212)</f>
        <v>2239</v>
      </c>
      <c r="J213" s="557">
        <f>SUM(J205:J212)</f>
        <v>1</v>
      </c>
      <c r="K213" s="467">
        <f>SUM(K205:K212)</f>
        <v>41212</v>
      </c>
      <c r="L213" s="557">
        <f>SUM(L205:L212)</f>
        <v>1</v>
      </c>
      <c r="M213" s="413"/>
      <c r="N213" s="437"/>
      <c r="O213" s="387"/>
    </row>
    <row r="214" spans="1:15" x14ac:dyDescent="0.3">
      <c r="A214" s="555"/>
      <c r="B214" s="466" t="s">
        <v>170</v>
      </c>
      <c r="C214" s="556"/>
      <c r="D214" s="556"/>
      <c r="E214" s="466"/>
      <c r="F214" s="556"/>
      <c r="G214" s="466"/>
      <c r="H214" s="557"/>
      <c r="I214" s="466">
        <v>262</v>
      </c>
      <c r="J214" s="557"/>
      <c r="K214" s="467">
        <v>6984</v>
      </c>
      <c r="L214" s="557"/>
      <c r="M214" s="413"/>
      <c r="N214" s="437"/>
      <c r="O214" s="387"/>
    </row>
    <row r="215" spans="1:15" x14ac:dyDescent="0.3">
      <c r="A215" s="555"/>
      <c r="B215" s="413"/>
      <c r="C215" s="413"/>
      <c r="D215" s="413"/>
      <c r="E215" s="413"/>
      <c r="F215" s="413"/>
      <c r="G215" s="413"/>
      <c r="H215" s="466"/>
      <c r="I215" s="466"/>
      <c r="J215" s="557"/>
      <c r="K215" s="467"/>
      <c r="L215" s="557"/>
      <c r="M215" s="413"/>
      <c r="N215" s="437"/>
      <c r="O215" s="387"/>
    </row>
    <row r="216" spans="1:15" x14ac:dyDescent="0.3">
      <c r="A216" s="555"/>
      <c r="B216" s="413" t="s">
        <v>232</v>
      </c>
      <c r="C216" s="413"/>
      <c r="D216" s="413"/>
      <c r="E216" s="413"/>
      <c r="F216" s="413"/>
      <c r="G216" s="413"/>
      <c r="H216" s="413"/>
      <c r="I216" s="466"/>
      <c r="J216" s="557">
        <v>1.0324</v>
      </c>
      <c r="K216" s="467"/>
      <c r="L216" s="557"/>
      <c r="M216" s="413"/>
      <c r="N216" s="437"/>
      <c r="O216" s="387"/>
    </row>
    <row r="217" spans="1:15" x14ac:dyDescent="0.3">
      <c r="A217" s="561"/>
      <c r="B217" s="473"/>
      <c r="C217" s="473"/>
      <c r="D217" s="473"/>
      <c r="E217" s="473"/>
      <c r="F217" s="473"/>
      <c r="G217" s="473"/>
      <c r="H217" s="473"/>
      <c r="I217" s="474"/>
      <c r="J217" s="562"/>
      <c r="K217" s="563"/>
      <c r="L217" s="562"/>
      <c r="M217" s="473"/>
      <c r="N217" s="594"/>
      <c r="O217" s="387"/>
    </row>
    <row r="218" spans="1:15" x14ac:dyDescent="0.3">
      <c r="A218" s="561"/>
      <c r="B218" s="400" t="s">
        <v>215</v>
      </c>
      <c r="C218" s="401"/>
      <c r="D218" s="401"/>
      <c r="E218" s="401"/>
      <c r="F218" s="404" t="s">
        <v>216</v>
      </c>
      <c r="G218" s="401"/>
      <c r="H218" s="400" t="s">
        <v>217</v>
      </c>
      <c r="I218" s="564"/>
      <c r="J218" s="401"/>
      <c r="K218" s="564"/>
      <c r="L218" s="401"/>
      <c r="M218" s="401"/>
      <c r="N218" s="594"/>
      <c r="O218" s="387"/>
    </row>
    <row r="219" spans="1:15" x14ac:dyDescent="0.3">
      <c r="A219" s="561"/>
      <c r="B219" s="401"/>
      <c r="C219" s="401"/>
      <c r="D219" s="401"/>
      <c r="E219" s="401"/>
      <c r="F219" s="401"/>
      <c r="G219" s="401"/>
      <c r="H219" s="401"/>
      <c r="I219" s="401"/>
      <c r="J219" s="401"/>
      <c r="K219" s="401"/>
      <c r="L219" s="401"/>
      <c r="M219" s="401"/>
      <c r="N219" s="594"/>
      <c r="O219" s="387"/>
    </row>
    <row r="220" spans="1:15" x14ac:dyDescent="0.3">
      <c r="A220" s="561"/>
      <c r="B220" s="400" t="s">
        <v>262</v>
      </c>
      <c r="C220" s="400"/>
      <c r="D220" s="400"/>
      <c r="E220" s="400"/>
      <c r="F220" s="565" t="s">
        <v>222</v>
      </c>
      <c r="G220" s="400"/>
      <c r="H220" s="566" t="s">
        <v>287</v>
      </c>
      <c r="I220" s="401"/>
      <c r="J220" s="401"/>
      <c r="K220" s="401"/>
      <c r="L220" s="401"/>
      <c r="M220" s="401"/>
      <c r="N220" s="594"/>
      <c r="O220" s="387"/>
    </row>
    <row r="221" spans="1:15" x14ac:dyDescent="0.3">
      <c r="A221" s="561"/>
      <c r="B221" s="400" t="s">
        <v>263</v>
      </c>
      <c r="C221" s="400"/>
      <c r="D221" s="400"/>
      <c r="E221" s="400"/>
      <c r="F221" s="565" t="s">
        <v>225</v>
      </c>
      <c r="G221" s="400"/>
      <c r="H221" s="566" t="s">
        <v>288</v>
      </c>
      <c r="I221" s="401"/>
      <c r="J221" s="401"/>
      <c r="K221" s="401"/>
      <c r="L221" s="401"/>
      <c r="M221" s="401"/>
      <c r="N221" s="594"/>
      <c r="O221" s="387"/>
    </row>
    <row r="222" spans="1:15" x14ac:dyDescent="0.3">
      <c r="A222" s="561"/>
      <c r="B222" s="400"/>
      <c r="C222" s="400"/>
      <c r="D222" s="400"/>
      <c r="E222" s="404"/>
      <c r="F222" s="400"/>
      <c r="G222" s="400"/>
      <c r="H222" s="400"/>
      <c r="I222" s="400"/>
      <c r="J222" s="401"/>
      <c r="K222" s="401"/>
      <c r="L222" s="401"/>
      <c r="M222" s="401"/>
      <c r="N222" s="594"/>
      <c r="O222" s="387"/>
    </row>
    <row r="223" spans="1:15" ht="18.600000000000001" thickBot="1" x14ac:dyDescent="0.4">
      <c r="A223" s="561"/>
      <c r="B223" s="567" t="str">
        <f>B170</f>
        <v>PSF1 INVESTOR REPORT QUARTER ENDING OCTOBER 2017</v>
      </c>
      <c r="C223" s="400"/>
      <c r="D223" s="400"/>
      <c r="E223" s="404"/>
      <c r="F223" s="400"/>
      <c r="G223" s="400"/>
      <c r="H223" s="400"/>
      <c r="I223" s="400"/>
      <c r="J223" s="401"/>
      <c r="K223" s="401"/>
      <c r="L223" s="401"/>
      <c r="M223" s="401"/>
      <c r="N223" s="601"/>
      <c r="O223" s="387"/>
    </row>
    <row r="224" spans="1:15" x14ac:dyDescent="0.3">
      <c r="A224" s="568"/>
      <c r="B224" s="568"/>
      <c r="C224" s="568"/>
      <c r="D224" s="568"/>
      <c r="E224" s="568"/>
      <c r="F224" s="568"/>
      <c r="G224" s="568"/>
      <c r="H224" s="568"/>
      <c r="I224" s="568"/>
      <c r="J224" s="568"/>
      <c r="K224" s="568"/>
      <c r="L224" s="568"/>
      <c r="M224" s="568"/>
      <c r="N224" s="568"/>
    </row>
    <row r="226" spans="9:9" x14ac:dyDescent="0.3">
      <c r="I226" s="472"/>
    </row>
  </sheetData>
  <hyperlinks>
    <hyperlink ref="I10" r:id="rId1" xr:uid="{00000000-0004-0000-3200-000000000000}"/>
    <hyperlink ref="K202" r:id="rId2" xr:uid="{00000000-0004-0000-32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4" max="14" man="1"/>
    <brk id="170" max="14" man="1"/>
  </rowBreaks>
  <colBreaks count="1" manualBreakCount="1">
    <brk id="14" max="224" man="1"/>
  </colBreak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2D2926"/>
  </sheetPr>
  <dimension ref="A1:P226"/>
  <sheetViews>
    <sheetView showOutlineSymbols="0" zoomScale="70" zoomScaleNormal="70" workbookViewId="0"/>
  </sheetViews>
  <sheetFormatPr defaultColWidth="9.81640625" defaultRowHeight="15.6" x14ac:dyDescent="0.3"/>
  <cols>
    <col min="1" max="1" width="4.81640625" style="388" customWidth="1"/>
    <col min="2" max="2" width="64.81640625" style="388" customWidth="1"/>
    <col min="3" max="3" width="15.453125" style="388" customWidth="1"/>
    <col min="4" max="4" width="10.81640625" style="388" customWidth="1"/>
    <col min="5" max="5" width="13.81640625" style="388" customWidth="1"/>
    <col min="6" max="6" width="8.08984375" style="388" customWidth="1"/>
    <col min="7" max="7" width="15.81640625" style="388" customWidth="1"/>
    <col min="8" max="8" width="8.1796875" style="388" customWidth="1"/>
    <col min="9" max="9" width="19.453125" style="388" customWidth="1"/>
    <col min="10" max="10" width="9.81640625" style="388" customWidth="1"/>
    <col min="11" max="11" width="18.81640625" style="388" customWidth="1"/>
    <col min="12" max="12" width="7.453125" style="388" customWidth="1"/>
    <col min="13" max="13" width="14.81640625" style="388" customWidth="1"/>
    <col min="14" max="14" width="23.453125" style="388" customWidth="1"/>
    <col min="15" max="16384" width="9.81640625" style="388"/>
  </cols>
  <sheetData>
    <row r="1" spans="1:15" ht="21" x14ac:dyDescent="0.4">
      <c r="A1" s="383"/>
      <c r="B1" s="384" t="s">
        <v>148</v>
      </c>
      <c r="C1" s="385"/>
      <c r="D1" s="385"/>
      <c r="E1" s="386"/>
      <c r="F1" s="386"/>
      <c r="G1" s="386"/>
      <c r="H1" s="386"/>
      <c r="I1" s="386"/>
      <c r="J1" s="386"/>
      <c r="K1" s="386"/>
      <c r="L1" s="386"/>
      <c r="M1" s="386"/>
      <c r="N1" s="590"/>
      <c r="O1" s="387"/>
    </row>
    <row r="2" spans="1:15" x14ac:dyDescent="0.3">
      <c r="A2" s="389"/>
      <c r="B2" s="390"/>
      <c r="C2" s="390"/>
      <c r="D2" s="390"/>
      <c r="E2" s="391"/>
      <c r="F2" s="391"/>
      <c r="G2" s="391"/>
      <c r="H2" s="391"/>
      <c r="I2" s="391"/>
      <c r="J2" s="391"/>
      <c r="K2" s="391"/>
      <c r="L2" s="391"/>
      <c r="M2" s="391"/>
      <c r="N2" s="591"/>
      <c r="O2" s="387"/>
    </row>
    <row r="3" spans="1:15" x14ac:dyDescent="0.3">
      <c r="A3" s="392"/>
      <c r="B3" s="393" t="s">
        <v>149</v>
      </c>
      <c r="C3" s="391"/>
      <c r="D3" s="391"/>
      <c r="E3" s="391"/>
      <c r="F3" s="391"/>
      <c r="G3" s="391"/>
      <c r="H3" s="391"/>
      <c r="I3" s="391"/>
      <c r="J3" s="391"/>
      <c r="K3" s="391"/>
      <c r="L3" s="391"/>
      <c r="M3" s="391"/>
      <c r="N3" s="591"/>
      <c r="O3" s="387"/>
    </row>
    <row r="4" spans="1:15" x14ac:dyDescent="0.3">
      <c r="A4" s="389"/>
      <c r="B4" s="390"/>
      <c r="C4" s="390"/>
      <c r="D4" s="390"/>
      <c r="E4" s="391"/>
      <c r="F4" s="391"/>
      <c r="G4" s="391"/>
      <c r="H4" s="391"/>
      <c r="I4" s="391"/>
      <c r="J4" s="391"/>
      <c r="K4" s="391"/>
      <c r="L4" s="391"/>
      <c r="M4" s="391"/>
      <c r="N4" s="591"/>
      <c r="O4" s="387"/>
    </row>
    <row r="5" spans="1:15" x14ac:dyDescent="0.3">
      <c r="A5" s="389"/>
      <c r="B5" s="394" t="s">
        <v>0</v>
      </c>
      <c r="C5" s="395"/>
      <c r="D5" s="395"/>
      <c r="E5" s="391"/>
      <c r="F5" s="391"/>
      <c r="G5" s="391"/>
      <c r="H5" s="391"/>
      <c r="I5" s="391"/>
      <c r="J5" s="391"/>
      <c r="K5" s="391"/>
      <c r="L5" s="391"/>
      <c r="M5" s="391"/>
      <c r="N5" s="591"/>
      <c r="O5" s="387"/>
    </row>
    <row r="6" spans="1:15" x14ac:dyDescent="0.3">
      <c r="A6" s="389"/>
      <c r="B6" s="394" t="s">
        <v>1</v>
      </c>
      <c r="C6" s="395"/>
      <c r="D6" s="395"/>
      <c r="E6" s="391"/>
      <c r="F6" s="391"/>
      <c r="G6" s="391"/>
      <c r="H6" s="391"/>
      <c r="I6" s="391"/>
      <c r="J6" s="391"/>
      <c r="K6" s="391"/>
      <c r="L6" s="391"/>
      <c r="M6" s="391"/>
      <c r="N6" s="591"/>
      <c r="O6" s="387"/>
    </row>
    <row r="7" spans="1:15" x14ac:dyDescent="0.3">
      <c r="A7" s="389"/>
      <c r="B7" s="394" t="s">
        <v>2</v>
      </c>
      <c r="C7" s="395"/>
      <c r="D7" s="395"/>
      <c r="E7" s="391"/>
      <c r="F7" s="391"/>
      <c r="G7" s="391"/>
      <c r="H7" s="391"/>
      <c r="I7" s="391"/>
      <c r="J7" s="391"/>
      <c r="K7" s="391"/>
      <c r="L7" s="391"/>
      <c r="M7" s="391"/>
      <c r="N7" s="591"/>
      <c r="O7" s="387"/>
    </row>
    <row r="8" spans="1:15" x14ac:dyDescent="0.3">
      <c r="A8" s="389"/>
      <c r="B8" s="394" t="s">
        <v>3</v>
      </c>
      <c r="C8" s="395"/>
      <c r="D8" s="395"/>
      <c r="E8" s="391"/>
      <c r="F8" s="391"/>
      <c r="G8" s="391"/>
      <c r="H8" s="391"/>
      <c r="I8" s="391"/>
      <c r="J8" s="391"/>
      <c r="K8" s="391"/>
      <c r="L8" s="391"/>
      <c r="M8" s="391"/>
      <c r="N8" s="591"/>
      <c r="O8" s="387"/>
    </row>
    <row r="9" spans="1:15" x14ac:dyDescent="0.3">
      <c r="A9" s="389"/>
      <c r="B9" s="391"/>
      <c r="C9" s="395"/>
      <c r="D9" s="395"/>
      <c r="E9" s="391"/>
      <c r="F9" s="391"/>
      <c r="G9" s="391"/>
      <c r="H9" s="391"/>
      <c r="I9" s="391"/>
      <c r="J9" s="391"/>
      <c r="K9" s="391"/>
      <c r="L9" s="391"/>
      <c r="M9" s="391"/>
      <c r="N9" s="591"/>
      <c r="O9" s="387"/>
    </row>
    <row r="10" spans="1:15" ht="18" x14ac:dyDescent="0.35">
      <c r="A10" s="389"/>
      <c r="B10" s="396" t="s">
        <v>198</v>
      </c>
      <c r="C10" s="395"/>
      <c r="D10" s="395"/>
      <c r="E10" s="391"/>
      <c r="F10" s="391"/>
      <c r="G10" s="391"/>
      <c r="H10" s="391"/>
      <c r="I10" s="397" t="s">
        <v>286</v>
      </c>
      <c r="J10" s="391"/>
      <c r="K10" s="391"/>
      <c r="L10" s="391"/>
      <c r="M10" s="391"/>
      <c r="N10" s="591"/>
      <c r="O10" s="387"/>
    </row>
    <row r="11" spans="1:15" x14ac:dyDescent="0.3">
      <c r="A11" s="389"/>
      <c r="B11" s="398"/>
      <c r="C11" s="395"/>
      <c r="D11" s="395"/>
      <c r="E11" s="399"/>
      <c r="F11" s="399"/>
      <c r="G11" s="391"/>
      <c r="H11" s="391"/>
      <c r="I11" s="391"/>
      <c r="J11" s="391"/>
      <c r="K11" s="391"/>
      <c r="L11" s="391"/>
      <c r="M11" s="391"/>
      <c r="N11" s="591"/>
      <c r="O11" s="387"/>
    </row>
    <row r="12" spans="1:15" x14ac:dyDescent="0.3">
      <c r="A12" s="389"/>
      <c r="B12" s="400" t="s">
        <v>4</v>
      </c>
      <c r="C12" s="400"/>
      <c r="D12" s="400"/>
      <c r="E12" s="401"/>
      <c r="F12" s="401"/>
      <c r="G12" s="401"/>
      <c r="H12" s="401"/>
      <c r="I12" s="401"/>
      <c r="J12" s="401"/>
      <c r="K12" s="401"/>
      <c r="L12" s="401"/>
      <c r="M12" s="401"/>
      <c r="N12" s="591"/>
      <c r="O12" s="387"/>
    </row>
    <row r="13" spans="1:15" ht="16.2" thickBot="1" x14ac:dyDescent="0.35">
      <c r="A13" s="389"/>
      <c r="B13" s="400"/>
      <c r="C13" s="400"/>
      <c r="D13" s="400"/>
      <c r="E13" s="401"/>
      <c r="F13" s="401"/>
      <c r="G13" s="401"/>
      <c r="H13" s="401"/>
      <c r="I13" s="401"/>
      <c r="J13" s="401"/>
      <c r="K13" s="401"/>
      <c r="L13" s="401"/>
      <c r="M13" s="401"/>
      <c r="N13" s="591"/>
      <c r="O13" s="387"/>
    </row>
    <row r="14" spans="1:15" x14ac:dyDescent="0.3">
      <c r="A14" s="383"/>
      <c r="B14" s="402"/>
      <c r="C14" s="402"/>
      <c r="D14" s="402"/>
      <c r="E14" s="402"/>
      <c r="F14" s="402"/>
      <c r="G14" s="402"/>
      <c r="H14" s="402"/>
      <c r="I14" s="402"/>
      <c r="J14" s="402"/>
      <c r="K14" s="402"/>
      <c r="L14" s="402"/>
      <c r="M14" s="402"/>
      <c r="N14" s="590"/>
      <c r="O14" s="387"/>
    </row>
    <row r="15" spans="1:15" x14ac:dyDescent="0.3">
      <c r="A15" s="389"/>
      <c r="B15" s="400" t="s">
        <v>5</v>
      </c>
      <c r="C15" s="400"/>
      <c r="D15" s="400"/>
      <c r="E15" s="401"/>
      <c r="F15" s="401"/>
      <c r="G15" s="401"/>
      <c r="H15" s="401"/>
      <c r="I15" s="401"/>
      <c r="J15" s="401"/>
      <c r="K15" s="401"/>
      <c r="L15" s="401"/>
      <c r="M15" s="403" t="s">
        <v>151</v>
      </c>
      <c r="N15" s="592"/>
      <c r="O15" s="387"/>
    </row>
    <row r="16" spans="1:15" x14ac:dyDescent="0.3">
      <c r="A16" s="389"/>
      <c r="B16" s="400" t="s">
        <v>6</v>
      </c>
      <c r="C16" s="400"/>
      <c r="D16" s="400"/>
      <c r="E16" s="401"/>
      <c r="F16" s="401"/>
      <c r="G16" s="401"/>
      <c r="H16" s="401"/>
      <c r="I16" s="404"/>
      <c r="J16" s="405"/>
      <c r="K16" s="404" t="s">
        <v>150</v>
      </c>
      <c r="L16" s="405">
        <v>1</v>
      </c>
      <c r="M16" s="403"/>
      <c r="N16" s="592"/>
      <c r="O16" s="387"/>
    </row>
    <row r="17" spans="1:15" x14ac:dyDescent="0.3">
      <c r="A17" s="389"/>
      <c r="B17" s="400" t="s">
        <v>7</v>
      </c>
      <c r="C17" s="400"/>
      <c r="D17" s="400"/>
      <c r="E17" s="401"/>
      <c r="F17" s="401"/>
      <c r="G17" s="401"/>
      <c r="H17" s="401"/>
      <c r="I17" s="404"/>
      <c r="J17" s="405"/>
      <c r="K17" s="404" t="s">
        <v>150</v>
      </c>
      <c r="L17" s="405">
        <v>1</v>
      </c>
      <c r="M17" s="403"/>
      <c r="N17" s="592"/>
      <c r="O17" s="387"/>
    </row>
    <row r="18" spans="1:15" x14ac:dyDescent="0.3">
      <c r="A18" s="389"/>
      <c r="B18" s="400" t="s">
        <v>8</v>
      </c>
      <c r="C18" s="400"/>
      <c r="D18" s="400"/>
      <c r="E18" s="401"/>
      <c r="F18" s="401"/>
      <c r="G18" s="401"/>
      <c r="H18" s="401"/>
      <c r="I18" s="401"/>
      <c r="J18" s="401"/>
      <c r="K18" s="401"/>
      <c r="L18" s="401"/>
      <c r="M18" s="406">
        <v>38336</v>
      </c>
      <c r="N18" s="592"/>
      <c r="O18" s="387"/>
    </row>
    <row r="19" spans="1:15" x14ac:dyDescent="0.3">
      <c r="A19" s="389"/>
      <c r="B19" s="400" t="s">
        <v>9</v>
      </c>
      <c r="C19" s="400"/>
      <c r="D19" s="400"/>
      <c r="E19" s="401"/>
      <c r="F19" s="401"/>
      <c r="G19" s="401"/>
      <c r="H19" s="401"/>
      <c r="I19" s="401"/>
      <c r="J19" s="401"/>
      <c r="K19" s="401"/>
      <c r="L19" s="401"/>
      <c r="M19" s="406">
        <v>43152</v>
      </c>
      <c r="N19" s="592"/>
      <c r="O19" s="387"/>
    </row>
    <row r="20" spans="1:15" x14ac:dyDescent="0.3">
      <c r="A20" s="389"/>
      <c r="B20" s="401"/>
      <c r="C20" s="401"/>
      <c r="D20" s="401"/>
      <c r="E20" s="401"/>
      <c r="F20" s="401"/>
      <c r="G20" s="401"/>
      <c r="H20" s="401"/>
      <c r="I20" s="401"/>
      <c r="J20" s="401"/>
      <c r="K20" s="401"/>
      <c r="L20" s="401"/>
      <c r="M20" s="407"/>
      <c r="N20" s="591"/>
      <c r="O20" s="387"/>
    </row>
    <row r="21" spans="1:15" x14ac:dyDescent="0.3">
      <c r="A21" s="389"/>
      <c r="B21" s="408" t="s">
        <v>10</v>
      </c>
      <c r="C21" s="401"/>
      <c r="D21" s="401"/>
      <c r="E21" s="401"/>
      <c r="F21" s="401"/>
      <c r="G21" s="401"/>
      <c r="H21" s="401"/>
      <c r="I21" s="401"/>
      <c r="J21" s="401"/>
      <c r="K21" s="407" t="s">
        <v>130</v>
      </c>
      <c r="L21" s="401"/>
      <c r="M21" s="401"/>
      <c r="N21" s="591"/>
      <c r="O21" s="387"/>
    </row>
    <row r="22" spans="1:15" x14ac:dyDescent="0.3">
      <c r="A22" s="389"/>
      <c r="B22" s="391"/>
      <c r="C22" s="391"/>
      <c r="D22" s="391"/>
      <c r="E22" s="391"/>
      <c r="F22" s="391"/>
      <c r="G22" s="391"/>
      <c r="H22" s="391"/>
      <c r="I22" s="391"/>
      <c r="J22" s="391"/>
      <c r="K22" s="391"/>
      <c r="L22" s="391"/>
      <c r="M22" s="409"/>
      <c r="N22" s="591"/>
      <c r="O22" s="387"/>
    </row>
    <row r="23" spans="1:15" x14ac:dyDescent="0.3">
      <c r="A23" s="410"/>
      <c r="B23" s="576"/>
      <c r="C23" s="577" t="s">
        <v>131</v>
      </c>
      <c r="D23" s="577"/>
      <c r="E23" s="577" t="s">
        <v>124</v>
      </c>
      <c r="F23" s="577"/>
      <c r="G23" s="577" t="s">
        <v>152</v>
      </c>
      <c r="H23" s="577"/>
      <c r="I23" s="577"/>
      <c r="J23" s="578"/>
      <c r="K23" s="578"/>
      <c r="L23" s="576"/>
      <c r="M23" s="576"/>
      <c r="N23" s="579"/>
      <c r="O23" s="387"/>
    </row>
    <row r="24" spans="1:15" x14ac:dyDescent="0.3">
      <c r="A24" s="570"/>
      <c r="B24" s="571" t="s">
        <v>156</v>
      </c>
      <c r="C24" s="572" t="s">
        <v>121</v>
      </c>
      <c r="D24" s="572"/>
      <c r="E24" s="572" t="s">
        <v>125</v>
      </c>
      <c r="F24" s="572"/>
      <c r="G24" s="572" t="s">
        <v>158</v>
      </c>
      <c r="H24" s="573"/>
      <c r="I24" s="573"/>
      <c r="J24" s="573"/>
      <c r="K24" s="573"/>
      <c r="L24" s="574"/>
      <c r="M24" s="574"/>
      <c r="N24" s="575"/>
      <c r="O24" s="387"/>
    </row>
    <row r="25" spans="1:15" x14ac:dyDescent="0.3">
      <c r="A25" s="412"/>
      <c r="B25" s="413" t="s">
        <v>11</v>
      </c>
      <c r="C25" s="414" t="s">
        <v>121</v>
      </c>
      <c r="D25" s="414"/>
      <c r="E25" s="414" t="s">
        <v>125</v>
      </c>
      <c r="F25" s="414"/>
      <c r="G25" s="414" t="s">
        <v>158</v>
      </c>
      <c r="H25" s="415"/>
      <c r="I25" s="415"/>
      <c r="J25" s="415"/>
      <c r="K25" s="415"/>
      <c r="L25" s="416"/>
      <c r="M25" s="416"/>
      <c r="N25" s="417"/>
      <c r="O25" s="387"/>
    </row>
    <row r="26" spans="1:15" x14ac:dyDescent="0.3">
      <c r="A26" s="418"/>
      <c r="B26" s="419" t="s">
        <v>157</v>
      </c>
      <c r="C26" s="420" t="s">
        <v>121</v>
      </c>
      <c r="D26" s="420"/>
      <c r="E26" s="420" t="s">
        <v>277</v>
      </c>
      <c r="F26" s="420"/>
      <c r="G26" s="420" t="s">
        <v>278</v>
      </c>
      <c r="H26" s="421"/>
      <c r="I26" s="421"/>
      <c r="J26" s="415"/>
      <c r="K26" s="415"/>
      <c r="L26" s="416"/>
      <c r="M26" s="416"/>
      <c r="N26" s="417"/>
      <c r="O26" s="387"/>
    </row>
    <row r="27" spans="1:15" x14ac:dyDescent="0.3">
      <c r="A27" s="418"/>
      <c r="B27" s="419" t="s">
        <v>12</v>
      </c>
      <c r="C27" s="420" t="s">
        <v>121</v>
      </c>
      <c r="D27" s="420"/>
      <c r="E27" s="420" t="s">
        <v>283</v>
      </c>
      <c r="F27" s="420"/>
      <c r="G27" s="420" t="s">
        <v>284</v>
      </c>
      <c r="H27" s="421"/>
      <c r="I27" s="421"/>
      <c r="J27" s="415"/>
      <c r="K27" s="415"/>
      <c r="L27" s="416"/>
      <c r="M27" s="416"/>
      <c r="N27" s="417"/>
      <c r="O27" s="387"/>
    </row>
    <row r="28" spans="1:15" x14ac:dyDescent="0.3">
      <c r="A28" s="412"/>
      <c r="B28" s="413" t="s">
        <v>13</v>
      </c>
      <c r="C28" s="422" t="s">
        <v>153</v>
      </c>
      <c r="D28" s="414"/>
      <c r="E28" s="422" t="s">
        <v>154</v>
      </c>
      <c r="F28" s="414"/>
      <c r="G28" s="422" t="s">
        <v>155</v>
      </c>
      <c r="H28" s="415"/>
      <c r="I28" s="423"/>
      <c r="J28" s="415"/>
      <c r="K28" s="423"/>
      <c r="L28" s="416"/>
      <c r="M28" s="416"/>
      <c r="N28" s="417"/>
      <c r="O28" s="387"/>
    </row>
    <row r="29" spans="1:15" x14ac:dyDescent="0.3">
      <c r="A29" s="412"/>
      <c r="B29" s="424"/>
      <c r="C29" s="424"/>
      <c r="D29" s="425"/>
      <c r="E29" s="425"/>
      <c r="F29" s="425"/>
      <c r="G29" s="425"/>
      <c r="H29" s="415"/>
      <c r="I29" s="415"/>
      <c r="J29" s="415"/>
      <c r="K29" s="415"/>
      <c r="L29" s="416"/>
      <c r="M29" s="416"/>
      <c r="N29" s="417"/>
      <c r="O29" s="387"/>
    </row>
    <row r="30" spans="1:15" x14ac:dyDescent="0.3">
      <c r="A30" s="412"/>
      <c r="B30" s="413" t="s">
        <v>14</v>
      </c>
      <c r="C30" s="426">
        <v>231000</v>
      </c>
      <c r="D30" s="427"/>
      <c r="E30" s="426">
        <v>42000</v>
      </c>
      <c r="F30" s="426"/>
      <c r="G30" s="426">
        <v>27000</v>
      </c>
      <c r="H30" s="426"/>
      <c r="I30" s="426"/>
      <c r="J30" s="426"/>
      <c r="K30" s="426"/>
      <c r="L30" s="427"/>
      <c r="M30" s="426">
        <f>C30+E30+G30</f>
        <v>300000</v>
      </c>
      <c r="N30" s="428"/>
      <c r="O30" s="387"/>
    </row>
    <row r="31" spans="1:15" x14ac:dyDescent="0.3">
      <c r="A31" s="412"/>
      <c r="B31" s="413" t="s">
        <v>290</v>
      </c>
      <c r="C31" s="426">
        <f>C30*C34</f>
        <v>22213.699200000003</v>
      </c>
      <c r="D31" s="427"/>
      <c r="E31" s="426">
        <f>E30*E34</f>
        <v>11564.447999999999</v>
      </c>
      <c r="F31" s="426"/>
      <c r="G31" s="426">
        <f>G30*G34</f>
        <v>7434.2987999999996</v>
      </c>
      <c r="H31" s="426"/>
      <c r="I31" s="426"/>
      <c r="J31" s="426"/>
      <c r="K31" s="426"/>
      <c r="L31" s="427"/>
      <c r="M31" s="426">
        <f>C31+E31+G31</f>
        <v>41212.445999999996</v>
      </c>
      <c r="N31" s="428"/>
      <c r="O31" s="387"/>
    </row>
    <row r="32" spans="1:15" x14ac:dyDescent="0.3">
      <c r="A32" s="418"/>
      <c r="B32" s="419" t="s">
        <v>291</v>
      </c>
      <c r="C32" s="429">
        <f>C30*C33</f>
        <v>20690.254199999999</v>
      </c>
      <c r="D32" s="430"/>
      <c r="E32" s="429">
        <f>E30*E33</f>
        <v>10771.3032</v>
      </c>
      <c r="F32" s="429"/>
      <c r="G32" s="429">
        <f>G30*G33</f>
        <v>6924.425400000001</v>
      </c>
      <c r="H32" s="429"/>
      <c r="I32" s="429"/>
      <c r="J32" s="429"/>
      <c r="K32" s="429"/>
      <c r="L32" s="430"/>
      <c r="M32" s="426">
        <f>C32+E32+G32</f>
        <v>38385.982799999998</v>
      </c>
      <c r="N32" s="428"/>
      <c r="O32" s="387"/>
    </row>
    <row r="33" spans="1:15" x14ac:dyDescent="0.3">
      <c r="A33" s="418"/>
      <c r="B33" s="431" t="s">
        <v>174</v>
      </c>
      <c r="C33" s="432">
        <v>8.9568200000000001E-2</v>
      </c>
      <c r="D33" s="433"/>
      <c r="E33" s="432">
        <v>0.25645960000000001</v>
      </c>
      <c r="F33" s="432"/>
      <c r="G33" s="432">
        <v>0.25646020000000003</v>
      </c>
      <c r="H33" s="434"/>
      <c r="I33" s="434"/>
      <c r="J33" s="435"/>
      <c r="K33" s="435"/>
      <c r="L33" s="436"/>
      <c r="M33" s="435"/>
      <c r="N33" s="428"/>
      <c r="O33" s="387"/>
    </row>
    <row r="34" spans="1:15" x14ac:dyDescent="0.3">
      <c r="A34" s="418"/>
      <c r="B34" s="431" t="s">
        <v>175</v>
      </c>
      <c r="C34" s="432">
        <v>9.6163200000000004E-2</v>
      </c>
      <c r="D34" s="433"/>
      <c r="E34" s="432">
        <v>0.27534399999999998</v>
      </c>
      <c r="F34" s="432"/>
      <c r="G34" s="432">
        <v>0.27534439999999999</v>
      </c>
      <c r="H34" s="434"/>
      <c r="I34" s="434"/>
      <c r="J34" s="435"/>
      <c r="K34" s="435"/>
      <c r="L34" s="436"/>
      <c r="M34" s="435"/>
      <c r="N34" s="428"/>
      <c r="O34" s="387"/>
    </row>
    <row r="35" spans="1:15" x14ac:dyDescent="0.3">
      <c r="A35" s="412"/>
      <c r="B35" s="413" t="s">
        <v>17</v>
      </c>
      <c r="C35" s="422" t="s">
        <v>164</v>
      </c>
      <c r="D35" s="413"/>
      <c r="E35" s="422" t="s">
        <v>163</v>
      </c>
      <c r="F35" s="422"/>
      <c r="G35" s="422" t="s">
        <v>162</v>
      </c>
      <c r="H35" s="422"/>
      <c r="I35" s="422"/>
      <c r="J35" s="422"/>
      <c r="K35" s="422"/>
      <c r="L35" s="413"/>
      <c r="M35" s="413"/>
      <c r="N35" s="437"/>
      <c r="O35" s="387"/>
    </row>
    <row r="36" spans="1:15" x14ac:dyDescent="0.3">
      <c r="A36" s="412"/>
      <c r="B36" s="413" t="s">
        <v>18</v>
      </c>
      <c r="C36" s="438">
        <v>9.2624999999999999E-3</v>
      </c>
      <c r="D36" s="413"/>
      <c r="E36" s="438">
        <v>2.0262499999999999E-2</v>
      </c>
      <c r="F36" s="439"/>
      <c r="G36" s="438">
        <v>2.52625E-2</v>
      </c>
      <c r="H36" s="439"/>
      <c r="I36" s="438"/>
      <c r="J36" s="439"/>
      <c r="K36" s="438"/>
      <c r="L36" s="413"/>
      <c r="M36" s="439">
        <f>SUMPRODUCT(C36:G36,C31:G31)/M31</f>
        <v>1.5235397333004694E-2</v>
      </c>
      <c r="N36" s="437"/>
      <c r="O36" s="387"/>
    </row>
    <row r="37" spans="1:15" x14ac:dyDescent="0.3">
      <c r="A37" s="412"/>
      <c r="B37" s="413" t="s">
        <v>19</v>
      </c>
      <c r="C37" s="438">
        <v>6.7962999999999999E-3</v>
      </c>
      <c r="D37" s="413"/>
      <c r="E37" s="438">
        <v>1.7796300000000001E-2</v>
      </c>
      <c r="F37" s="439"/>
      <c r="G37" s="438">
        <v>2.2796299999999999E-2</v>
      </c>
      <c r="H37" s="439"/>
      <c r="I37" s="438"/>
      <c r="J37" s="439"/>
      <c r="K37" s="438"/>
      <c r="L37" s="413"/>
      <c r="M37" s="413"/>
      <c r="N37" s="437"/>
      <c r="O37" s="387"/>
    </row>
    <row r="38" spans="1:15" x14ac:dyDescent="0.3">
      <c r="A38" s="412"/>
      <c r="B38" s="413" t="s">
        <v>20</v>
      </c>
      <c r="C38" s="440">
        <v>39767</v>
      </c>
      <c r="D38" s="440"/>
      <c r="E38" s="440">
        <v>39767</v>
      </c>
      <c r="F38" s="440"/>
      <c r="G38" s="440">
        <v>39767</v>
      </c>
      <c r="H38" s="440"/>
      <c r="I38" s="440"/>
      <c r="J38" s="422"/>
      <c r="K38" s="422"/>
      <c r="L38" s="413"/>
      <c r="M38" s="413"/>
      <c r="N38" s="437"/>
      <c r="O38" s="387"/>
    </row>
    <row r="39" spans="1:15" x14ac:dyDescent="0.3">
      <c r="A39" s="412"/>
      <c r="B39" s="413" t="s">
        <v>21</v>
      </c>
      <c r="C39" s="440">
        <v>40132</v>
      </c>
      <c r="D39" s="440"/>
      <c r="E39" s="440">
        <v>40132</v>
      </c>
      <c r="F39" s="440"/>
      <c r="G39" s="440">
        <v>40132</v>
      </c>
      <c r="H39" s="440"/>
      <c r="I39" s="440"/>
      <c r="J39" s="422"/>
      <c r="K39" s="422"/>
      <c r="L39" s="413"/>
      <c r="M39" s="413"/>
      <c r="N39" s="437"/>
      <c r="O39" s="387"/>
    </row>
    <row r="40" spans="1:15" x14ac:dyDescent="0.3">
      <c r="A40" s="412"/>
      <c r="B40" s="413" t="s">
        <v>22</v>
      </c>
      <c r="C40" s="422" t="s">
        <v>164</v>
      </c>
      <c r="D40" s="413"/>
      <c r="E40" s="422" t="s">
        <v>163</v>
      </c>
      <c r="F40" s="422"/>
      <c r="G40" s="422" t="s">
        <v>162</v>
      </c>
      <c r="H40" s="422"/>
      <c r="I40" s="422"/>
      <c r="J40" s="422"/>
      <c r="K40" s="422"/>
      <c r="L40" s="413"/>
      <c r="M40" s="413"/>
      <c r="N40" s="437"/>
      <c r="O40" s="387"/>
    </row>
    <row r="41" spans="1:15" x14ac:dyDescent="0.3">
      <c r="A41" s="412"/>
      <c r="B41" s="413"/>
      <c r="C41" s="413"/>
      <c r="D41" s="413"/>
      <c r="E41" s="438"/>
      <c r="F41" s="413"/>
      <c r="G41" s="438"/>
      <c r="H41" s="422"/>
      <c r="I41" s="422"/>
      <c r="J41" s="441"/>
      <c r="K41" s="441"/>
      <c r="L41" s="441"/>
      <c r="M41" s="441"/>
      <c r="N41" s="437"/>
      <c r="O41" s="387"/>
    </row>
    <row r="42" spans="1:15" x14ac:dyDescent="0.3">
      <c r="A42" s="412"/>
      <c r="B42" s="413" t="s">
        <v>178</v>
      </c>
      <c r="C42" s="413"/>
      <c r="D42" s="413"/>
      <c r="E42" s="442"/>
      <c r="F42" s="413"/>
      <c r="G42" s="442"/>
      <c r="H42" s="413"/>
      <c r="I42" s="442"/>
      <c r="J42" s="413"/>
      <c r="K42" s="413"/>
      <c r="L42" s="413"/>
      <c r="M42" s="439">
        <f>(E30+G30)/C30</f>
        <v>0.29870129870129869</v>
      </c>
      <c r="N42" s="437"/>
      <c r="O42" s="387"/>
    </row>
    <row r="43" spans="1:15" x14ac:dyDescent="0.3">
      <c r="A43" s="412"/>
      <c r="B43" s="413" t="s">
        <v>179</v>
      </c>
      <c r="C43" s="413"/>
      <c r="D43" s="413"/>
      <c r="E43" s="442"/>
      <c r="F43" s="413"/>
      <c r="G43" s="442"/>
      <c r="H43" s="413"/>
      <c r="I43" s="442"/>
      <c r="J43" s="413"/>
      <c r="K43" s="413"/>
      <c r="L43" s="413"/>
      <c r="M43" s="439">
        <f>(G32+E32)/C32</f>
        <v>0.85526878640282744</v>
      </c>
      <c r="N43" s="437"/>
      <c r="O43" s="387"/>
    </row>
    <row r="44" spans="1:15" x14ac:dyDescent="0.3">
      <c r="A44" s="412"/>
      <c r="B44" s="413" t="s">
        <v>23</v>
      </c>
      <c r="C44" s="413"/>
      <c r="D44" s="413"/>
      <c r="E44" s="413"/>
      <c r="F44" s="413"/>
      <c r="G44" s="413"/>
      <c r="H44" s="413"/>
      <c r="I44" s="413"/>
      <c r="J44" s="413"/>
      <c r="K44" s="422" t="s">
        <v>131</v>
      </c>
      <c r="L44" s="422" t="s">
        <v>138</v>
      </c>
      <c r="M44" s="426">
        <f>+M30/2-E30-G30</f>
        <v>81000</v>
      </c>
      <c r="N44" s="437"/>
      <c r="O44" s="387"/>
    </row>
    <row r="45" spans="1:15" x14ac:dyDescent="0.3">
      <c r="A45" s="412"/>
      <c r="B45" s="413"/>
      <c r="C45" s="413"/>
      <c r="D45" s="413"/>
      <c r="E45" s="413"/>
      <c r="F45" s="413"/>
      <c r="G45" s="413"/>
      <c r="H45" s="413"/>
      <c r="I45" s="413"/>
      <c r="J45" s="413"/>
      <c r="K45" s="413" t="s">
        <v>235</v>
      </c>
      <c r="L45" s="413"/>
      <c r="M45" s="443"/>
      <c r="N45" s="437"/>
      <c r="O45" s="387"/>
    </row>
    <row r="46" spans="1:15" x14ac:dyDescent="0.3">
      <c r="A46" s="412"/>
      <c r="B46" s="413" t="s">
        <v>24</v>
      </c>
      <c r="C46" s="413"/>
      <c r="D46" s="413"/>
      <c r="E46" s="413"/>
      <c r="F46" s="413"/>
      <c r="G46" s="413"/>
      <c r="H46" s="413"/>
      <c r="I46" s="413"/>
      <c r="J46" s="413"/>
      <c r="K46" s="422"/>
      <c r="L46" s="422"/>
      <c r="M46" s="422" t="s">
        <v>140</v>
      </c>
      <c r="N46" s="437"/>
      <c r="O46" s="387"/>
    </row>
    <row r="47" spans="1:15" x14ac:dyDescent="0.3">
      <c r="A47" s="412"/>
      <c r="B47" s="419" t="s">
        <v>25</v>
      </c>
      <c r="C47" s="419"/>
      <c r="D47" s="419"/>
      <c r="E47" s="419"/>
      <c r="F47" s="419"/>
      <c r="G47" s="419"/>
      <c r="H47" s="419"/>
      <c r="I47" s="419"/>
      <c r="J47" s="419"/>
      <c r="K47" s="444"/>
      <c r="L47" s="444"/>
      <c r="M47" s="445">
        <v>43146</v>
      </c>
      <c r="N47" s="437"/>
      <c r="O47" s="387"/>
    </row>
    <row r="48" spans="1:15" x14ac:dyDescent="0.3">
      <c r="A48" s="412"/>
      <c r="B48" s="413" t="s">
        <v>26</v>
      </c>
      <c r="C48" s="413"/>
      <c r="D48" s="413"/>
      <c r="E48" s="413"/>
      <c r="F48" s="413"/>
      <c r="G48" s="413"/>
      <c r="H48" s="413"/>
      <c r="I48" s="413"/>
      <c r="J48" s="413">
        <f>M48-K48+1</f>
        <v>92</v>
      </c>
      <c r="K48" s="446">
        <v>42962</v>
      </c>
      <c r="L48" s="447"/>
      <c r="M48" s="446">
        <v>43053</v>
      </c>
      <c r="N48" s="437"/>
      <c r="O48" s="387"/>
    </row>
    <row r="49" spans="1:15" x14ac:dyDescent="0.3">
      <c r="A49" s="412"/>
      <c r="B49" s="413" t="s">
        <v>27</v>
      </c>
      <c r="C49" s="413"/>
      <c r="D49" s="413"/>
      <c r="E49" s="413"/>
      <c r="F49" s="413"/>
      <c r="G49" s="413"/>
      <c r="H49" s="413"/>
      <c r="I49" s="413"/>
      <c r="J49" s="413">
        <f>M49-K49+1</f>
        <v>92</v>
      </c>
      <c r="K49" s="446">
        <v>43054</v>
      </c>
      <c r="L49" s="447"/>
      <c r="M49" s="446">
        <v>43145</v>
      </c>
      <c r="N49" s="437"/>
      <c r="O49" s="387"/>
    </row>
    <row r="50" spans="1:15" x14ac:dyDescent="0.3">
      <c r="A50" s="412"/>
      <c r="B50" s="413" t="s">
        <v>28</v>
      </c>
      <c r="C50" s="413"/>
      <c r="D50" s="413"/>
      <c r="E50" s="413"/>
      <c r="F50" s="413"/>
      <c r="G50" s="413"/>
      <c r="H50" s="413"/>
      <c r="I50" s="413"/>
      <c r="J50" s="413"/>
      <c r="K50" s="446"/>
      <c r="L50" s="447"/>
      <c r="M50" s="446" t="s">
        <v>141</v>
      </c>
      <c r="N50" s="437"/>
      <c r="O50" s="387"/>
    </row>
    <row r="51" spans="1:15" x14ac:dyDescent="0.3">
      <c r="A51" s="412"/>
      <c r="B51" s="413" t="s">
        <v>29</v>
      </c>
      <c r="C51" s="413"/>
      <c r="D51" s="413"/>
      <c r="E51" s="413"/>
      <c r="F51" s="413"/>
      <c r="G51" s="413"/>
      <c r="H51" s="413"/>
      <c r="I51" s="413"/>
      <c r="J51" s="413"/>
      <c r="K51" s="446"/>
      <c r="L51" s="447"/>
      <c r="M51" s="446">
        <v>43132</v>
      </c>
      <c r="N51" s="437"/>
      <c r="O51" s="387"/>
    </row>
    <row r="52" spans="1:15" x14ac:dyDescent="0.3">
      <c r="A52" s="389"/>
      <c r="B52" s="448"/>
      <c r="C52" s="448"/>
      <c r="D52" s="448"/>
      <c r="E52" s="448"/>
      <c r="F52" s="448"/>
      <c r="G52" s="448"/>
      <c r="H52" s="448"/>
      <c r="I52" s="448"/>
      <c r="J52" s="448"/>
      <c r="K52" s="449"/>
      <c r="L52" s="450"/>
      <c r="M52" s="449"/>
      <c r="N52" s="591"/>
      <c r="O52" s="387"/>
    </row>
    <row r="53" spans="1:15" x14ac:dyDescent="0.3">
      <c r="A53" s="389"/>
      <c r="B53" s="391"/>
      <c r="C53" s="391"/>
      <c r="D53" s="391"/>
      <c r="E53" s="391"/>
      <c r="F53" s="391"/>
      <c r="G53" s="391"/>
      <c r="H53" s="391"/>
      <c r="I53" s="391"/>
      <c r="J53" s="391"/>
      <c r="K53" s="451"/>
      <c r="L53" s="452"/>
      <c r="M53" s="451"/>
      <c r="N53" s="591"/>
      <c r="O53" s="387"/>
    </row>
    <row r="54" spans="1:15" ht="18.600000000000001" thickBot="1" x14ac:dyDescent="0.4">
      <c r="A54" s="453"/>
      <c r="B54" s="454" t="s">
        <v>292</v>
      </c>
      <c r="C54" s="455"/>
      <c r="D54" s="455"/>
      <c r="E54" s="455"/>
      <c r="F54" s="455"/>
      <c r="G54" s="455"/>
      <c r="H54" s="455"/>
      <c r="I54" s="455"/>
      <c r="J54" s="455"/>
      <c r="K54" s="455"/>
      <c r="L54" s="455"/>
      <c r="M54" s="456"/>
      <c r="N54" s="457"/>
      <c r="O54" s="387"/>
    </row>
    <row r="55" spans="1:15" x14ac:dyDescent="0.3">
      <c r="A55" s="410"/>
      <c r="B55" s="458" t="s">
        <v>30</v>
      </c>
      <c r="C55" s="459"/>
      <c r="D55" s="459"/>
      <c r="E55" s="411"/>
      <c r="F55" s="411"/>
      <c r="G55" s="411"/>
      <c r="H55" s="411"/>
      <c r="I55" s="411"/>
      <c r="J55" s="411"/>
      <c r="K55" s="411"/>
      <c r="L55" s="411"/>
      <c r="M55" s="460"/>
      <c r="N55" s="579"/>
      <c r="O55" s="387"/>
    </row>
    <row r="56" spans="1:15" x14ac:dyDescent="0.3">
      <c r="A56" s="389"/>
      <c r="B56" s="399"/>
      <c r="C56" s="399"/>
      <c r="D56" s="399"/>
      <c r="E56" s="391"/>
      <c r="F56" s="391"/>
      <c r="G56" s="391"/>
      <c r="H56" s="391"/>
      <c r="I56" s="391"/>
      <c r="J56" s="391"/>
      <c r="K56" s="391"/>
      <c r="L56" s="391"/>
      <c r="M56" s="461"/>
      <c r="N56" s="591"/>
      <c r="O56" s="387"/>
    </row>
    <row r="57" spans="1:15" ht="46.8" x14ac:dyDescent="0.3">
      <c r="A57" s="389"/>
      <c r="B57" s="462" t="s">
        <v>31</v>
      </c>
      <c r="C57" s="463" t="s">
        <v>119</v>
      </c>
      <c r="D57" s="463"/>
      <c r="E57" s="463" t="s">
        <v>122</v>
      </c>
      <c r="F57" s="463"/>
      <c r="G57" s="463" t="s">
        <v>123</v>
      </c>
      <c r="H57" s="463"/>
      <c r="I57" s="463" t="s">
        <v>126</v>
      </c>
      <c r="J57" s="463"/>
      <c r="K57" s="463" t="s">
        <v>132</v>
      </c>
      <c r="L57" s="463"/>
      <c r="M57" s="464" t="s">
        <v>142</v>
      </c>
      <c r="N57" s="593"/>
      <c r="O57" s="387"/>
    </row>
    <row r="58" spans="1:15" x14ac:dyDescent="0.3">
      <c r="A58" s="412"/>
      <c r="B58" s="413" t="s">
        <v>32</v>
      </c>
      <c r="C58" s="466">
        <f>240614-323</f>
        <v>240291</v>
      </c>
      <c r="D58" s="466"/>
      <c r="E58" s="467">
        <v>41212</v>
      </c>
      <c r="F58" s="466"/>
      <c r="G58" s="466">
        <v>2826</v>
      </c>
      <c r="H58" s="466"/>
      <c r="I58" s="466">
        <v>0</v>
      </c>
      <c r="J58" s="466"/>
      <c r="K58" s="466">
        <v>0</v>
      </c>
      <c r="L58" s="466"/>
      <c r="M58" s="467">
        <f>E58-G58+I58-K58</f>
        <v>38386</v>
      </c>
      <c r="N58" s="417"/>
      <c r="O58" s="387"/>
    </row>
    <row r="59" spans="1:15" x14ac:dyDescent="0.3">
      <c r="A59" s="412"/>
      <c r="B59" s="413" t="s">
        <v>33</v>
      </c>
      <c r="C59" s="466">
        <f>748-206</f>
        <v>542</v>
      </c>
      <c r="D59" s="466"/>
      <c r="E59" s="467">
        <v>0</v>
      </c>
      <c r="F59" s="466"/>
      <c r="G59" s="466">
        <v>0</v>
      </c>
      <c r="H59" s="466"/>
      <c r="I59" s="466">
        <v>0</v>
      </c>
      <c r="J59" s="466"/>
      <c r="K59" s="466">
        <v>0</v>
      </c>
      <c r="L59" s="466"/>
      <c r="M59" s="467">
        <f>E59-G59+I59-K59</f>
        <v>0</v>
      </c>
      <c r="N59" s="417"/>
      <c r="O59" s="387"/>
    </row>
    <row r="60" spans="1:15" x14ac:dyDescent="0.3">
      <c r="A60" s="412"/>
      <c r="B60" s="413"/>
      <c r="C60" s="466"/>
      <c r="D60" s="466"/>
      <c r="E60" s="467"/>
      <c r="F60" s="466"/>
      <c r="G60" s="466">
        <v>0</v>
      </c>
      <c r="H60" s="466"/>
      <c r="I60" s="466">
        <v>0</v>
      </c>
      <c r="J60" s="466"/>
      <c r="K60" s="466">
        <v>0</v>
      </c>
      <c r="L60" s="466"/>
      <c r="M60" s="467">
        <f>E60-G60+I60-K60</f>
        <v>0</v>
      </c>
      <c r="N60" s="417"/>
      <c r="O60" s="387"/>
    </row>
    <row r="61" spans="1:15" x14ac:dyDescent="0.3">
      <c r="A61" s="412"/>
      <c r="B61" s="413"/>
      <c r="C61" s="466"/>
      <c r="D61" s="466"/>
      <c r="E61" s="467"/>
      <c r="F61" s="466"/>
      <c r="G61" s="466"/>
      <c r="H61" s="466"/>
      <c r="I61" s="466"/>
      <c r="J61" s="466"/>
      <c r="K61" s="466"/>
      <c r="L61" s="466"/>
      <c r="M61" s="467"/>
      <c r="N61" s="417"/>
      <c r="O61" s="387"/>
    </row>
    <row r="62" spans="1:15" x14ac:dyDescent="0.3">
      <c r="A62" s="412"/>
      <c r="B62" s="413" t="s">
        <v>34</v>
      </c>
      <c r="C62" s="466">
        <f>SUM(C58:C61)</f>
        <v>240833</v>
      </c>
      <c r="D62" s="466"/>
      <c r="E62" s="466">
        <f>E58+E59+E60</f>
        <v>41212</v>
      </c>
      <c r="F62" s="466"/>
      <c r="G62" s="466">
        <f>SUM(G58:G61)</f>
        <v>2826</v>
      </c>
      <c r="H62" s="466"/>
      <c r="I62" s="466">
        <f>SUM(I58:I61)</f>
        <v>0</v>
      </c>
      <c r="J62" s="466"/>
      <c r="K62" s="466">
        <f>SUM(K58:K61)</f>
        <v>0</v>
      </c>
      <c r="L62" s="466"/>
      <c r="M62" s="466">
        <f>SUM(M58:M61)</f>
        <v>38386</v>
      </c>
      <c r="N62" s="417"/>
      <c r="O62" s="387"/>
    </row>
    <row r="63" spans="1:15" x14ac:dyDescent="0.3">
      <c r="A63" s="389"/>
      <c r="B63" s="448"/>
      <c r="C63" s="468"/>
      <c r="D63" s="468"/>
      <c r="E63" s="468"/>
      <c r="F63" s="468"/>
      <c r="G63" s="468"/>
      <c r="H63" s="468"/>
      <c r="I63" s="468"/>
      <c r="J63" s="468"/>
      <c r="K63" s="468"/>
      <c r="L63" s="468"/>
      <c r="M63" s="469"/>
      <c r="N63" s="591"/>
      <c r="O63" s="387"/>
    </row>
    <row r="64" spans="1:15" x14ac:dyDescent="0.3">
      <c r="A64" s="389"/>
      <c r="B64" s="393" t="s">
        <v>35</v>
      </c>
      <c r="C64" s="470"/>
      <c r="D64" s="470"/>
      <c r="E64" s="470"/>
      <c r="F64" s="470"/>
      <c r="G64" s="470"/>
      <c r="H64" s="470"/>
      <c r="I64" s="470"/>
      <c r="J64" s="470"/>
      <c r="K64" s="470"/>
      <c r="L64" s="470"/>
      <c r="M64" s="471"/>
      <c r="N64" s="591"/>
      <c r="O64" s="387"/>
    </row>
    <row r="65" spans="1:16" x14ac:dyDescent="0.3">
      <c r="A65" s="389"/>
      <c r="B65" s="391"/>
      <c r="C65" s="470"/>
      <c r="D65" s="470"/>
      <c r="E65" s="470"/>
      <c r="F65" s="470"/>
      <c r="G65" s="470"/>
      <c r="H65" s="470"/>
      <c r="I65" s="470"/>
      <c r="J65" s="470"/>
      <c r="K65" s="470"/>
      <c r="L65" s="470"/>
      <c r="M65" s="471"/>
      <c r="N65" s="591"/>
      <c r="O65" s="387"/>
    </row>
    <row r="66" spans="1:16" x14ac:dyDescent="0.3">
      <c r="A66" s="412"/>
      <c r="B66" s="413" t="s">
        <v>32</v>
      </c>
      <c r="C66" s="466"/>
      <c r="D66" s="466"/>
      <c r="E66" s="466"/>
      <c r="F66" s="466"/>
      <c r="G66" s="466"/>
      <c r="H66" s="466"/>
      <c r="I66" s="466"/>
      <c r="J66" s="466"/>
      <c r="K66" s="466"/>
      <c r="L66" s="466"/>
      <c r="M66" s="466"/>
      <c r="N66" s="437"/>
      <c r="O66" s="387"/>
    </row>
    <row r="67" spans="1:16" x14ac:dyDescent="0.3">
      <c r="A67" s="412"/>
      <c r="B67" s="413" t="s">
        <v>33</v>
      </c>
      <c r="C67" s="466"/>
      <c r="D67" s="466"/>
      <c r="E67" s="466"/>
      <c r="F67" s="466"/>
      <c r="G67" s="466"/>
      <c r="H67" s="466"/>
      <c r="I67" s="466"/>
      <c r="J67" s="466"/>
      <c r="K67" s="466"/>
      <c r="L67" s="466"/>
      <c r="M67" s="466"/>
      <c r="N67" s="437"/>
      <c r="O67" s="387"/>
    </row>
    <row r="68" spans="1:16" x14ac:dyDescent="0.3">
      <c r="A68" s="412"/>
      <c r="B68" s="413"/>
      <c r="C68" s="466"/>
      <c r="D68" s="466"/>
      <c r="E68" s="466"/>
      <c r="F68" s="466"/>
      <c r="G68" s="466"/>
      <c r="H68" s="466"/>
      <c r="I68" s="466"/>
      <c r="J68" s="466"/>
      <c r="K68" s="466"/>
      <c r="L68" s="466"/>
      <c r="M68" s="466"/>
      <c r="N68" s="437"/>
      <c r="O68" s="387"/>
    </row>
    <row r="69" spans="1:16" x14ac:dyDescent="0.3">
      <c r="A69" s="412"/>
      <c r="B69" s="413" t="s">
        <v>34</v>
      </c>
      <c r="C69" s="466"/>
      <c r="D69" s="466"/>
      <c r="E69" s="466"/>
      <c r="F69" s="466"/>
      <c r="G69" s="466"/>
      <c r="H69" s="466"/>
      <c r="I69" s="466"/>
      <c r="J69" s="466"/>
      <c r="K69" s="466"/>
      <c r="L69" s="466"/>
      <c r="M69" s="466"/>
      <c r="N69" s="437"/>
      <c r="O69" s="387"/>
    </row>
    <row r="70" spans="1:16" x14ac:dyDescent="0.3">
      <c r="A70" s="412"/>
      <c r="B70" s="413"/>
      <c r="C70" s="466"/>
      <c r="D70" s="466"/>
      <c r="E70" s="466"/>
      <c r="F70" s="466"/>
      <c r="G70" s="466"/>
      <c r="H70" s="466"/>
      <c r="I70" s="466"/>
      <c r="J70" s="466"/>
      <c r="K70" s="466"/>
      <c r="L70" s="466"/>
      <c r="M70" s="466"/>
      <c r="N70" s="437"/>
      <c r="O70" s="387"/>
    </row>
    <row r="71" spans="1:16" x14ac:dyDescent="0.3">
      <c r="A71" s="412"/>
      <c r="B71" s="413" t="s">
        <v>36</v>
      </c>
      <c r="C71" s="466">
        <v>0</v>
      </c>
      <c r="D71" s="466"/>
      <c r="E71" s="466">
        <v>0</v>
      </c>
      <c r="F71" s="466"/>
      <c r="G71" s="466"/>
      <c r="H71" s="466"/>
      <c r="I71" s="466"/>
      <c r="J71" s="466"/>
      <c r="K71" s="466"/>
      <c r="L71" s="466"/>
      <c r="M71" s="466">
        <v>0</v>
      </c>
      <c r="N71" s="437"/>
      <c r="O71" s="387"/>
    </row>
    <row r="72" spans="1:16" x14ac:dyDescent="0.3">
      <c r="A72" s="412"/>
      <c r="B72" s="413" t="s">
        <v>147</v>
      </c>
      <c r="C72" s="466">
        <f>59167</f>
        <v>59167</v>
      </c>
      <c r="D72" s="466"/>
      <c r="E72" s="466">
        <v>0</v>
      </c>
      <c r="F72" s="466"/>
      <c r="G72" s="466"/>
      <c r="H72" s="466"/>
      <c r="I72" s="466"/>
      <c r="J72" s="466"/>
      <c r="K72" s="466"/>
      <c r="L72" s="466"/>
      <c r="M72" s="466">
        <f>+E72+I72</f>
        <v>0</v>
      </c>
      <c r="N72" s="437"/>
      <c r="O72" s="387"/>
    </row>
    <row r="73" spans="1:16" x14ac:dyDescent="0.3">
      <c r="A73" s="412"/>
      <c r="B73" s="413" t="s">
        <v>171</v>
      </c>
      <c r="C73" s="466">
        <v>0</v>
      </c>
      <c r="D73" s="466"/>
      <c r="E73" s="466">
        <v>0</v>
      </c>
      <c r="F73" s="466"/>
      <c r="G73" s="466"/>
      <c r="H73" s="466"/>
      <c r="I73" s="466"/>
      <c r="J73" s="466"/>
      <c r="K73" s="466"/>
      <c r="L73" s="466"/>
      <c r="M73" s="466">
        <v>0</v>
      </c>
      <c r="N73" s="437"/>
      <c r="O73" s="387"/>
      <c r="P73" s="472"/>
    </row>
    <row r="74" spans="1:16" x14ac:dyDescent="0.3">
      <c r="A74" s="412"/>
      <c r="B74" s="413" t="s">
        <v>38</v>
      </c>
      <c r="C74" s="466">
        <v>0</v>
      </c>
      <c r="D74" s="466"/>
      <c r="E74" s="466">
        <v>0</v>
      </c>
      <c r="F74" s="466"/>
      <c r="G74" s="466"/>
      <c r="H74" s="466"/>
      <c r="I74" s="466"/>
      <c r="J74" s="466"/>
      <c r="K74" s="466"/>
      <c r="L74" s="466"/>
      <c r="M74" s="466">
        <v>0</v>
      </c>
      <c r="N74" s="437"/>
      <c r="O74" s="387"/>
      <c r="P74" s="472"/>
    </row>
    <row r="75" spans="1:16" x14ac:dyDescent="0.3">
      <c r="A75" s="412"/>
      <c r="B75" s="413" t="s">
        <v>39</v>
      </c>
      <c r="C75" s="466">
        <f>SUM(C62:C74)</f>
        <v>300000</v>
      </c>
      <c r="D75" s="466"/>
      <c r="E75" s="466">
        <f>SUM(E62:E74)</f>
        <v>41212</v>
      </c>
      <c r="F75" s="466"/>
      <c r="G75" s="466"/>
      <c r="H75" s="466"/>
      <c r="I75" s="466"/>
      <c r="J75" s="466"/>
      <c r="K75" s="466"/>
      <c r="L75" s="466"/>
      <c r="M75" s="466">
        <f>SUM(M62:M74)</f>
        <v>38386</v>
      </c>
      <c r="N75" s="437"/>
      <c r="O75" s="387"/>
    </row>
    <row r="76" spans="1:16" x14ac:dyDescent="0.3">
      <c r="A76" s="389"/>
      <c r="B76" s="473"/>
      <c r="C76" s="474"/>
      <c r="D76" s="474"/>
      <c r="E76" s="474"/>
      <c r="F76" s="474"/>
      <c r="G76" s="474"/>
      <c r="H76" s="474"/>
      <c r="I76" s="474"/>
      <c r="J76" s="474"/>
      <c r="K76" s="474"/>
      <c r="L76" s="474"/>
      <c r="M76" s="474"/>
      <c r="N76" s="594"/>
      <c r="O76" s="387"/>
    </row>
    <row r="77" spans="1:16" x14ac:dyDescent="0.3">
      <c r="A77" s="389"/>
      <c r="B77" s="401"/>
      <c r="C77" s="401"/>
      <c r="D77" s="401"/>
      <c r="E77" s="401"/>
      <c r="F77" s="401"/>
      <c r="G77" s="401"/>
      <c r="H77" s="401"/>
      <c r="I77" s="401"/>
      <c r="J77" s="401"/>
      <c r="K77" s="401"/>
      <c r="L77" s="401"/>
      <c r="M77" s="401"/>
      <c r="N77" s="594"/>
      <c r="O77" s="387"/>
    </row>
    <row r="78" spans="1:16" x14ac:dyDescent="0.3">
      <c r="A78" s="389"/>
      <c r="B78" s="408" t="s">
        <v>40</v>
      </c>
      <c r="C78" s="477" t="s">
        <v>120</v>
      </c>
      <c r="D78" s="478">
        <f>+K171</f>
        <v>43131</v>
      </c>
      <c r="E78" s="400"/>
      <c r="F78" s="400"/>
      <c r="G78" s="400"/>
      <c r="H78" s="400"/>
      <c r="I78" s="400"/>
      <c r="J78" s="404"/>
      <c r="K78" s="404" t="s">
        <v>133</v>
      </c>
      <c r="L78" s="404"/>
      <c r="M78" s="404" t="s">
        <v>143</v>
      </c>
      <c r="N78" s="594"/>
      <c r="O78" s="387"/>
    </row>
    <row r="79" spans="1:16" x14ac:dyDescent="0.3">
      <c r="A79" s="479"/>
      <c r="B79" s="413" t="s">
        <v>41</v>
      </c>
      <c r="C79" s="413"/>
      <c r="D79" s="413"/>
      <c r="E79" s="413"/>
      <c r="F79" s="413"/>
      <c r="G79" s="413"/>
      <c r="H79" s="413"/>
      <c r="I79" s="413"/>
      <c r="J79" s="413"/>
      <c r="K79" s="466">
        <f>+'Oct 2008'!K112</f>
        <v>0</v>
      </c>
      <c r="L79" s="413"/>
      <c r="M79" s="467">
        <v>0</v>
      </c>
      <c r="N79" s="437"/>
      <c r="O79" s="387"/>
    </row>
    <row r="80" spans="1:16" x14ac:dyDescent="0.3">
      <c r="A80" s="479"/>
      <c r="B80" s="413" t="s">
        <v>42</v>
      </c>
      <c r="C80" s="441" t="s">
        <v>207</v>
      </c>
      <c r="D80" s="480" t="s">
        <v>207</v>
      </c>
      <c r="E80" s="481"/>
      <c r="F80" s="413"/>
      <c r="G80" s="413"/>
      <c r="H80" s="413"/>
      <c r="I80" s="413"/>
      <c r="J80" s="413"/>
      <c r="K80" s="466">
        <f>2826+49</f>
        <v>2875</v>
      </c>
      <c r="L80" s="413"/>
      <c r="M80" s="467"/>
      <c r="N80" s="437"/>
      <c r="O80" s="387"/>
    </row>
    <row r="81" spans="1:16" x14ac:dyDescent="0.3">
      <c r="A81" s="479"/>
      <c r="B81" s="413" t="s">
        <v>204</v>
      </c>
      <c r="C81" s="441"/>
      <c r="D81" s="480"/>
      <c r="E81" s="481"/>
      <c r="F81" s="413"/>
      <c r="G81" s="413"/>
      <c r="H81" s="413"/>
      <c r="I81" s="413"/>
      <c r="J81" s="413"/>
      <c r="K81" s="466"/>
      <c r="L81" s="413"/>
      <c r="M81" s="467">
        <f>2298+3-1396</f>
        <v>905</v>
      </c>
      <c r="N81" s="437"/>
      <c r="O81" s="387"/>
    </row>
    <row r="82" spans="1:16" x14ac:dyDescent="0.3">
      <c r="A82" s="479"/>
      <c r="B82" s="413" t="s">
        <v>205</v>
      </c>
      <c r="C82" s="441"/>
      <c r="D82" s="480"/>
      <c r="E82" s="481"/>
      <c r="F82" s="413"/>
      <c r="G82" s="413"/>
      <c r="H82" s="413"/>
      <c r="I82" s="413"/>
      <c r="J82" s="413"/>
      <c r="K82" s="466"/>
      <c r="L82" s="413"/>
      <c r="M82" s="467">
        <v>214</v>
      </c>
      <c r="N82" s="437"/>
      <c r="O82" s="387"/>
    </row>
    <row r="83" spans="1:16" x14ac:dyDescent="0.3">
      <c r="A83" s="479"/>
      <c r="B83" s="413" t="s">
        <v>206</v>
      </c>
      <c r="C83" s="441"/>
      <c r="D83" s="480"/>
      <c r="E83" s="481"/>
      <c r="F83" s="413"/>
      <c r="G83" s="413"/>
      <c r="H83" s="413"/>
      <c r="I83" s="413"/>
      <c r="J83" s="413"/>
      <c r="K83" s="466"/>
      <c r="L83" s="413"/>
      <c r="M83" s="467">
        <v>10</v>
      </c>
      <c r="N83" s="437"/>
      <c r="O83" s="387"/>
      <c r="P83" s="472"/>
    </row>
    <row r="84" spans="1:16" x14ac:dyDescent="0.3">
      <c r="A84" s="479"/>
      <c r="B84" s="413" t="s">
        <v>44</v>
      </c>
      <c r="C84" s="413"/>
      <c r="D84" s="413"/>
      <c r="E84" s="413"/>
      <c r="F84" s="413"/>
      <c r="G84" s="413"/>
      <c r="H84" s="413"/>
      <c r="I84" s="413"/>
      <c r="J84" s="413"/>
      <c r="K84" s="466"/>
      <c r="L84" s="413"/>
      <c r="M84" s="467">
        <v>0</v>
      </c>
      <c r="N84" s="437"/>
      <c r="O84" s="387"/>
    </row>
    <row r="85" spans="1:16" x14ac:dyDescent="0.3">
      <c r="A85" s="479"/>
      <c r="B85" s="413" t="s">
        <v>45</v>
      </c>
      <c r="C85" s="413"/>
      <c r="D85" s="413"/>
      <c r="E85" s="413"/>
      <c r="F85" s="413"/>
      <c r="G85" s="413"/>
      <c r="H85" s="413"/>
      <c r="I85" s="413"/>
      <c r="J85" s="413"/>
      <c r="K85" s="466">
        <f>SUM(K79:K84)</f>
        <v>2875</v>
      </c>
      <c r="L85" s="413"/>
      <c r="M85" s="466">
        <f>SUM(M79:M84)</f>
        <v>1129</v>
      </c>
      <c r="N85" s="437"/>
      <c r="O85" s="387"/>
    </row>
    <row r="86" spans="1:16" x14ac:dyDescent="0.3">
      <c r="A86" s="479"/>
      <c r="B86" s="413" t="s">
        <v>46</v>
      </c>
      <c r="C86" s="413"/>
      <c r="D86" s="413"/>
      <c r="E86" s="413"/>
      <c r="F86" s="413"/>
      <c r="G86" s="413"/>
      <c r="H86" s="413"/>
      <c r="I86" s="413"/>
      <c r="J86" s="413"/>
      <c r="K86" s="466">
        <f>-M86</f>
        <v>0</v>
      </c>
      <c r="L86" s="413"/>
      <c r="M86" s="467">
        <v>0</v>
      </c>
      <c r="N86" s="437"/>
      <c r="O86" s="387"/>
    </row>
    <row r="87" spans="1:16" x14ac:dyDescent="0.3">
      <c r="A87" s="479"/>
      <c r="B87" s="413" t="s">
        <v>47</v>
      </c>
      <c r="C87" s="413"/>
      <c r="D87" s="413"/>
      <c r="E87" s="413"/>
      <c r="F87" s="413"/>
      <c r="G87" s="413"/>
      <c r="H87" s="413"/>
      <c r="I87" s="413"/>
      <c r="J87" s="413"/>
      <c r="K87" s="466">
        <f>K85+K86</f>
        <v>2875</v>
      </c>
      <c r="L87" s="413"/>
      <c r="M87" s="466">
        <f>M85+M86</f>
        <v>1129</v>
      </c>
      <c r="N87" s="437"/>
      <c r="O87" s="387"/>
      <c r="P87" s="482"/>
    </row>
    <row r="88" spans="1:16" x14ac:dyDescent="0.3">
      <c r="A88" s="479"/>
      <c r="B88" s="483" t="s">
        <v>48</v>
      </c>
      <c r="C88" s="483"/>
      <c r="D88" s="483"/>
      <c r="E88" s="413"/>
      <c r="F88" s="413"/>
      <c r="G88" s="413"/>
      <c r="H88" s="413"/>
      <c r="I88" s="413"/>
      <c r="J88" s="413"/>
      <c r="K88" s="466"/>
      <c r="L88" s="413"/>
      <c r="M88" s="467"/>
      <c r="N88" s="417"/>
      <c r="O88" s="387"/>
    </row>
    <row r="89" spans="1:16" x14ac:dyDescent="0.3">
      <c r="A89" s="479">
        <v>1</v>
      </c>
      <c r="B89" s="413" t="s">
        <v>49</v>
      </c>
      <c r="C89" s="413"/>
      <c r="D89" s="413"/>
      <c r="E89" s="413"/>
      <c r="F89" s="413"/>
      <c r="G89" s="413"/>
      <c r="H89" s="413"/>
      <c r="I89" s="413"/>
      <c r="J89" s="413"/>
      <c r="K89" s="413"/>
      <c r="L89" s="413"/>
      <c r="M89" s="467">
        <v>0</v>
      </c>
      <c r="N89" s="417"/>
      <c r="O89" s="387"/>
      <c r="P89" s="472"/>
    </row>
    <row r="90" spans="1:16" x14ac:dyDescent="0.3">
      <c r="A90" s="479">
        <v>2</v>
      </c>
      <c r="B90" s="413" t="s">
        <v>50</v>
      </c>
      <c r="C90" s="413"/>
      <c r="D90" s="413"/>
      <c r="E90" s="413"/>
      <c r="F90" s="413"/>
      <c r="G90" s="413"/>
      <c r="H90" s="413"/>
      <c r="I90" s="413"/>
      <c r="J90" s="413"/>
      <c r="K90" s="413"/>
      <c r="L90" s="413"/>
      <c r="M90" s="467">
        <v>-2</v>
      </c>
      <c r="N90" s="417"/>
      <c r="O90" s="387"/>
      <c r="P90" s="482"/>
    </row>
    <row r="91" spans="1:16" x14ac:dyDescent="0.3">
      <c r="A91" s="479">
        <v>3</v>
      </c>
      <c r="B91" s="413" t="s">
        <v>194</v>
      </c>
      <c r="C91" s="413"/>
      <c r="D91" s="413"/>
      <c r="E91" s="413"/>
      <c r="F91" s="413"/>
      <c r="G91" s="413"/>
      <c r="H91" s="413"/>
      <c r="I91" s="413"/>
      <c r="J91" s="413"/>
      <c r="K91" s="413"/>
      <c r="L91" s="413"/>
      <c r="M91" s="467">
        <f>-16-11-1</f>
        <v>-28</v>
      </c>
      <c r="N91" s="417"/>
      <c r="O91" s="387"/>
    </row>
    <row r="92" spans="1:16" x14ac:dyDescent="0.3">
      <c r="A92" s="484" t="s">
        <v>184</v>
      </c>
      <c r="B92" s="413" t="s">
        <v>146</v>
      </c>
      <c r="C92" s="413"/>
      <c r="D92" s="413"/>
      <c r="E92" s="413"/>
      <c r="F92" s="413"/>
      <c r="G92" s="413"/>
      <c r="H92" s="413"/>
      <c r="I92" s="413"/>
      <c r="J92" s="413"/>
      <c r="K92" s="413"/>
      <c r="L92" s="413"/>
      <c r="M92" s="467">
        <v>0</v>
      </c>
      <c r="N92" s="417"/>
      <c r="O92" s="387"/>
    </row>
    <row r="93" spans="1:16" x14ac:dyDescent="0.3">
      <c r="A93" s="484" t="s">
        <v>192</v>
      </c>
      <c r="B93" s="413" t="s">
        <v>51</v>
      </c>
      <c r="C93" s="413"/>
      <c r="D93" s="413"/>
      <c r="E93" s="413"/>
      <c r="F93" s="413"/>
      <c r="G93" s="413"/>
      <c r="H93" s="413"/>
      <c r="I93" s="413"/>
      <c r="J93" s="413"/>
      <c r="K93" s="413"/>
      <c r="L93" s="413"/>
      <c r="M93" s="467">
        <v>-52</v>
      </c>
      <c r="N93" s="417"/>
      <c r="O93" s="387"/>
    </row>
    <row r="94" spans="1:16" x14ac:dyDescent="0.3">
      <c r="A94" s="479">
        <v>5</v>
      </c>
      <c r="B94" s="413" t="s">
        <v>52</v>
      </c>
      <c r="C94" s="413"/>
      <c r="D94" s="413"/>
      <c r="E94" s="413"/>
      <c r="F94" s="413"/>
      <c r="G94" s="413"/>
      <c r="H94" s="413"/>
      <c r="I94" s="413"/>
      <c r="J94" s="413"/>
      <c r="K94" s="413"/>
      <c r="L94" s="413"/>
      <c r="M94" s="467">
        <v>-59</v>
      </c>
      <c r="N94" s="417"/>
      <c r="O94" s="387"/>
    </row>
    <row r="95" spans="1:16" x14ac:dyDescent="0.3">
      <c r="A95" s="479">
        <v>6</v>
      </c>
      <c r="B95" s="413" t="s">
        <v>172</v>
      </c>
      <c r="C95" s="413"/>
      <c r="D95" s="413"/>
      <c r="E95" s="413"/>
      <c r="F95" s="413"/>
      <c r="G95" s="413"/>
      <c r="H95" s="413"/>
      <c r="I95" s="413"/>
      <c r="J95" s="413"/>
      <c r="K95" s="413"/>
      <c r="L95" s="413"/>
      <c r="M95" s="467">
        <v>-47</v>
      </c>
      <c r="N95" s="417"/>
      <c r="O95" s="387"/>
    </row>
    <row r="96" spans="1:16" x14ac:dyDescent="0.3">
      <c r="A96" s="479">
        <v>7</v>
      </c>
      <c r="B96" s="413" t="s">
        <v>53</v>
      </c>
      <c r="C96" s="413"/>
      <c r="D96" s="413"/>
      <c r="E96" s="413"/>
      <c r="F96" s="413"/>
      <c r="G96" s="413"/>
      <c r="H96" s="413"/>
      <c r="I96" s="413"/>
      <c r="J96" s="413"/>
      <c r="K96" s="413"/>
      <c r="L96" s="413"/>
      <c r="M96" s="467">
        <v>-7</v>
      </c>
      <c r="N96" s="417"/>
      <c r="O96" s="387"/>
    </row>
    <row r="97" spans="1:16" x14ac:dyDescent="0.3">
      <c r="A97" s="479">
        <v>8</v>
      </c>
      <c r="B97" s="413" t="s">
        <v>69</v>
      </c>
      <c r="C97" s="413"/>
      <c r="D97" s="413"/>
      <c r="E97" s="413"/>
      <c r="F97" s="413"/>
      <c r="G97" s="413"/>
      <c r="H97" s="413"/>
      <c r="I97" s="413"/>
      <c r="J97" s="413"/>
      <c r="K97" s="466">
        <f>-M97</f>
        <v>-49</v>
      </c>
      <c r="L97" s="413"/>
      <c r="M97" s="467">
        <v>49</v>
      </c>
      <c r="N97" s="417"/>
      <c r="O97" s="387"/>
    </row>
    <row r="98" spans="1:16" x14ac:dyDescent="0.3">
      <c r="A98" s="479">
        <v>9</v>
      </c>
      <c r="B98" s="413" t="s">
        <v>193</v>
      </c>
      <c r="C98" s="413"/>
      <c r="D98" s="413"/>
      <c r="E98" s="413"/>
      <c r="F98" s="413"/>
      <c r="G98" s="413"/>
      <c r="H98" s="413"/>
      <c r="I98" s="413"/>
      <c r="J98" s="413"/>
      <c r="K98" s="413"/>
      <c r="L98" s="413"/>
      <c r="M98" s="467">
        <v>0</v>
      </c>
      <c r="N98" s="417"/>
      <c r="O98" s="387"/>
    </row>
    <row r="99" spans="1:16" x14ac:dyDescent="0.3">
      <c r="A99" s="479">
        <v>10</v>
      </c>
      <c r="B99" s="413" t="s">
        <v>54</v>
      </c>
      <c r="C99" s="413"/>
      <c r="D99" s="413"/>
      <c r="E99" s="413"/>
      <c r="F99" s="413"/>
      <c r="G99" s="413"/>
      <c r="H99" s="413"/>
      <c r="I99" s="413"/>
      <c r="J99" s="413"/>
      <c r="K99" s="413"/>
      <c r="L99" s="413"/>
      <c r="M99" s="467">
        <v>0</v>
      </c>
      <c r="N99" s="417"/>
      <c r="O99" s="387"/>
    </row>
    <row r="100" spans="1:16" x14ac:dyDescent="0.3">
      <c r="A100" s="479">
        <v>11</v>
      </c>
      <c r="B100" s="413" t="s">
        <v>55</v>
      </c>
      <c r="C100" s="413"/>
      <c r="D100" s="413"/>
      <c r="E100" s="413"/>
      <c r="F100" s="413"/>
      <c r="G100" s="413"/>
      <c r="H100" s="413"/>
      <c r="I100" s="413"/>
      <c r="J100" s="413"/>
      <c r="K100" s="413"/>
      <c r="L100" s="413"/>
      <c r="M100" s="467">
        <v>0</v>
      </c>
      <c r="N100" s="417"/>
      <c r="O100" s="387"/>
    </row>
    <row r="101" spans="1:16" x14ac:dyDescent="0.3">
      <c r="A101" s="479">
        <v>12</v>
      </c>
      <c r="B101" s="413" t="s">
        <v>173</v>
      </c>
      <c r="C101" s="413"/>
      <c r="D101" s="413"/>
      <c r="E101" s="413"/>
      <c r="F101" s="413"/>
      <c r="G101" s="413"/>
      <c r="H101" s="413"/>
      <c r="I101" s="413"/>
      <c r="J101" s="413"/>
      <c r="K101" s="413"/>
      <c r="L101" s="413"/>
      <c r="M101" s="467">
        <v>-15</v>
      </c>
      <c r="N101" s="417"/>
      <c r="O101" s="387"/>
    </row>
    <row r="102" spans="1:16" x14ac:dyDescent="0.3">
      <c r="A102" s="479">
        <v>13</v>
      </c>
      <c r="B102" s="413" t="s">
        <v>195</v>
      </c>
      <c r="C102" s="413"/>
      <c r="D102" s="413"/>
      <c r="E102" s="413"/>
      <c r="F102" s="413"/>
      <c r="G102" s="413"/>
      <c r="H102" s="413"/>
      <c r="I102" s="413"/>
      <c r="J102" s="413"/>
      <c r="K102" s="413"/>
      <c r="L102" s="413"/>
      <c r="M102" s="467">
        <f>-M87-SUM(M89:M101)</f>
        <v>-968</v>
      </c>
      <c r="N102" s="417"/>
      <c r="O102" s="387"/>
    </row>
    <row r="103" spans="1:16" x14ac:dyDescent="0.3">
      <c r="A103" s="412"/>
      <c r="B103" s="485" t="s">
        <v>56</v>
      </c>
      <c r="C103" s="486"/>
      <c r="D103" s="486"/>
      <c r="E103" s="416"/>
      <c r="F103" s="416"/>
      <c r="G103" s="416"/>
      <c r="H103" s="416"/>
      <c r="I103" s="416"/>
      <c r="J103" s="416"/>
      <c r="K103" s="416"/>
      <c r="L103" s="416"/>
      <c r="M103" s="487"/>
      <c r="N103" s="417"/>
      <c r="O103" s="387"/>
    </row>
    <row r="104" spans="1:16" x14ac:dyDescent="0.3">
      <c r="A104" s="412"/>
      <c r="B104" s="413" t="s">
        <v>57</v>
      </c>
      <c r="C104" s="483"/>
      <c r="D104" s="483"/>
      <c r="E104" s="413"/>
      <c r="F104" s="413"/>
      <c r="G104" s="413"/>
      <c r="H104" s="413"/>
      <c r="I104" s="413"/>
      <c r="J104" s="413"/>
      <c r="K104" s="466">
        <f>-K155</f>
        <v>0</v>
      </c>
      <c r="L104" s="466"/>
      <c r="M104" s="467"/>
      <c r="N104" s="417"/>
      <c r="O104" s="387"/>
    </row>
    <row r="105" spans="1:16" x14ac:dyDescent="0.3">
      <c r="A105" s="412"/>
      <c r="B105" s="413" t="s">
        <v>58</v>
      </c>
      <c r="C105" s="413"/>
      <c r="D105" s="413"/>
      <c r="E105" s="413"/>
      <c r="F105" s="413"/>
      <c r="G105" s="413"/>
      <c r="H105" s="413"/>
      <c r="I105" s="413"/>
      <c r="J105" s="413"/>
      <c r="K105" s="466">
        <f>-I155</f>
        <v>0</v>
      </c>
      <c r="L105" s="466"/>
      <c r="M105" s="467"/>
      <c r="N105" s="417"/>
      <c r="O105" s="387"/>
      <c r="P105" s="472"/>
    </row>
    <row r="106" spans="1:16" x14ac:dyDescent="0.3">
      <c r="A106" s="412"/>
      <c r="B106" s="413" t="s">
        <v>187</v>
      </c>
      <c r="C106" s="413"/>
      <c r="D106" s="413"/>
      <c r="E106" s="413"/>
      <c r="F106" s="413"/>
      <c r="G106" s="413"/>
      <c r="H106" s="413"/>
      <c r="I106" s="413"/>
      <c r="J106" s="413"/>
      <c r="K106" s="466">
        <v>0</v>
      </c>
      <c r="L106" s="466"/>
      <c r="M106" s="467"/>
      <c r="N106" s="417"/>
      <c r="O106" s="387"/>
    </row>
    <row r="107" spans="1:16" x14ac:dyDescent="0.3">
      <c r="A107" s="412"/>
      <c r="B107" s="413" t="s">
        <v>185</v>
      </c>
      <c r="C107" s="413"/>
      <c r="D107" s="413"/>
      <c r="E107" s="413"/>
      <c r="F107" s="413"/>
      <c r="G107" s="413"/>
      <c r="H107" s="413"/>
      <c r="I107" s="413"/>
      <c r="J107" s="413"/>
      <c r="K107" s="466">
        <v>-1523</v>
      </c>
      <c r="L107" s="466"/>
      <c r="M107" s="467"/>
      <c r="N107" s="417"/>
      <c r="O107" s="387"/>
    </row>
    <row r="108" spans="1:16" x14ac:dyDescent="0.3">
      <c r="A108" s="412"/>
      <c r="B108" s="413" t="s">
        <v>59</v>
      </c>
      <c r="C108" s="413"/>
      <c r="D108" s="413"/>
      <c r="E108" s="413"/>
      <c r="F108" s="413"/>
      <c r="G108" s="413"/>
      <c r="H108" s="413"/>
      <c r="I108" s="413"/>
      <c r="J108" s="413"/>
      <c r="K108" s="466">
        <v>-793</v>
      </c>
      <c r="L108" s="466"/>
      <c r="M108" s="467"/>
      <c r="N108" s="417"/>
      <c r="O108" s="387"/>
    </row>
    <row r="109" spans="1:16" x14ac:dyDescent="0.3">
      <c r="A109" s="412"/>
      <c r="B109" s="413" t="s">
        <v>186</v>
      </c>
      <c r="C109" s="413"/>
      <c r="D109" s="413"/>
      <c r="E109" s="413"/>
      <c r="F109" s="413"/>
      <c r="G109" s="413"/>
      <c r="H109" s="413"/>
      <c r="I109" s="413"/>
      <c r="J109" s="413"/>
      <c r="K109" s="466">
        <v>-510</v>
      </c>
      <c r="L109" s="466"/>
      <c r="M109" s="467"/>
      <c r="N109" s="417"/>
      <c r="O109" s="387"/>
    </row>
    <row r="110" spans="1:16" x14ac:dyDescent="0.3">
      <c r="A110" s="412"/>
      <c r="B110" s="413" t="s">
        <v>60</v>
      </c>
      <c r="C110" s="413"/>
      <c r="D110" s="413"/>
      <c r="E110" s="413"/>
      <c r="F110" s="413"/>
      <c r="G110" s="413"/>
      <c r="H110" s="413"/>
      <c r="I110" s="413"/>
      <c r="J110" s="413"/>
      <c r="K110" s="466">
        <f>+K105+K106+K107+K108+K109</f>
        <v>-2826</v>
      </c>
      <c r="L110" s="466"/>
      <c r="M110" s="466">
        <f>SUM(M88:M109)</f>
        <v>-1129</v>
      </c>
      <c r="N110" s="417"/>
      <c r="O110" s="387"/>
    </row>
    <row r="111" spans="1:16" x14ac:dyDescent="0.3">
      <c r="A111" s="412"/>
      <c r="B111" s="413" t="s">
        <v>61</v>
      </c>
      <c r="C111" s="413"/>
      <c r="D111" s="413"/>
      <c r="E111" s="413"/>
      <c r="F111" s="413"/>
      <c r="G111" s="413"/>
      <c r="H111" s="413"/>
      <c r="I111" s="413"/>
      <c r="J111" s="413"/>
      <c r="K111" s="466">
        <f>K87+K110+K97</f>
        <v>0</v>
      </c>
      <c r="L111" s="466"/>
      <c r="M111" s="466">
        <f>M87+M110</f>
        <v>0</v>
      </c>
      <c r="N111" s="417"/>
      <c r="O111" s="387"/>
    </row>
    <row r="112" spans="1:16" x14ac:dyDescent="0.3">
      <c r="A112" s="389"/>
      <c r="B112" s="475"/>
      <c r="C112" s="475"/>
      <c r="D112" s="475"/>
      <c r="E112" s="475"/>
      <c r="F112" s="475"/>
      <c r="G112" s="475"/>
      <c r="H112" s="475"/>
      <c r="I112" s="475"/>
      <c r="J112" s="475"/>
      <c r="K112" s="488"/>
      <c r="L112" s="488"/>
      <c r="M112" s="488"/>
      <c r="N112" s="591"/>
      <c r="O112" s="387"/>
    </row>
    <row r="113" spans="1:15" x14ac:dyDescent="0.3">
      <c r="A113" s="389"/>
      <c r="B113" s="476"/>
      <c r="C113" s="476"/>
      <c r="D113" s="476"/>
      <c r="E113" s="476"/>
      <c r="F113" s="476"/>
      <c r="G113" s="476"/>
      <c r="H113" s="476"/>
      <c r="I113" s="476"/>
      <c r="J113" s="476"/>
      <c r="K113" s="476"/>
      <c r="L113" s="476"/>
      <c r="M113" s="489"/>
      <c r="N113" s="591"/>
      <c r="O113" s="387"/>
    </row>
    <row r="114" spans="1:15" ht="18.600000000000001" thickBot="1" x14ac:dyDescent="0.4">
      <c r="A114" s="453"/>
      <c r="B114" s="454" t="str">
        <f>B54</f>
        <v>PSF1 INVESTOR REPORT QUARTER ENDING JANUARY 2018</v>
      </c>
      <c r="C114" s="490"/>
      <c r="D114" s="490"/>
      <c r="E114" s="490"/>
      <c r="F114" s="490"/>
      <c r="G114" s="490"/>
      <c r="H114" s="490"/>
      <c r="I114" s="490"/>
      <c r="J114" s="490"/>
      <c r="K114" s="490"/>
      <c r="L114" s="490"/>
      <c r="M114" s="491"/>
      <c r="N114" s="457"/>
      <c r="O114" s="387"/>
    </row>
    <row r="115" spans="1:15" x14ac:dyDescent="0.3">
      <c r="A115" s="492"/>
      <c r="B115" s="493" t="s">
        <v>62</v>
      </c>
      <c r="C115" s="494"/>
      <c r="D115" s="494"/>
      <c r="E115" s="495"/>
      <c r="F115" s="495"/>
      <c r="G115" s="495"/>
      <c r="H115" s="495"/>
      <c r="I115" s="495"/>
      <c r="J115" s="495"/>
      <c r="K115" s="495"/>
      <c r="L115" s="495"/>
      <c r="M115" s="496"/>
      <c r="N115" s="595"/>
      <c r="O115" s="387"/>
    </row>
    <row r="116" spans="1:15" x14ac:dyDescent="0.3">
      <c r="A116" s="389"/>
      <c r="B116" s="497"/>
      <c r="C116" s="399"/>
      <c r="D116" s="399"/>
      <c r="E116" s="391"/>
      <c r="F116" s="391"/>
      <c r="G116" s="391"/>
      <c r="H116" s="391"/>
      <c r="I116" s="391"/>
      <c r="J116" s="391"/>
      <c r="K116" s="391"/>
      <c r="L116" s="391"/>
      <c r="M116" s="461"/>
      <c r="N116" s="591"/>
      <c r="O116" s="387"/>
    </row>
    <row r="117" spans="1:15" x14ac:dyDescent="0.3">
      <c r="A117" s="389"/>
      <c r="B117" s="498" t="s">
        <v>63</v>
      </c>
      <c r="C117" s="399"/>
      <c r="D117" s="399"/>
      <c r="E117" s="391"/>
      <c r="F117" s="391"/>
      <c r="G117" s="391"/>
      <c r="H117" s="391"/>
      <c r="I117" s="391"/>
      <c r="J117" s="391"/>
      <c r="K117" s="391"/>
      <c r="L117" s="391"/>
      <c r="M117" s="461"/>
      <c r="N117" s="591"/>
      <c r="O117" s="387"/>
    </row>
    <row r="118" spans="1:15" x14ac:dyDescent="0.3">
      <c r="A118" s="412"/>
      <c r="B118" s="413" t="s">
        <v>64</v>
      </c>
      <c r="C118" s="413"/>
      <c r="D118" s="413"/>
      <c r="E118" s="413"/>
      <c r="F118" s="413"/>
      <c r="G118" s="413"/>
      <c r="H118" s="413"/>
      <c r="I118" s="413"/>
      <c r="J118" s="413"/>
      <c r="K118" s="413"/>
      <c r="L118" s="413"/>
      <c r="M118" s="467">
        <f>+M30*0.045</f>
        <v>13500</v>
      </c>
      <c r="N118" s="437"/>
      <c r="O118" s="387"/>
    </row>
    <row r="119" spans="1:15" x14ac:dyDescent="0.3">
      <c r="A119" s="412"/>
      <c r="B119" s="413" t="s">
        <v>65</v>
      </c>
      <c r="C119" s="413"/>
      <c r="D119" s="413"/>
      <c r="E119" s="413"/>
      <c r="F119" s="413"/>
      <c r="G119" s="413"/>
      <c r="H119" s="413"/>
      <c r="I119" s="413"/>
      <c r="J119" s="413"/>
      <c r="K119" s="413"/>
      <c r="L119" s="413"/>
      <c r="M119" s="467">
        <v>15900</v>
      </c>
      <c r="N119" s="437"/>
      <c r="O119" s="387"/>
    </row>
    <row r="120" spans="1:15" x14ac:dyDescent="0.3">
      <c r="A120" s="412"/>
      <c r="B120" s="413" t="s">
        <v>66</v>
      </c>
      <c r="C120" s="413"/>
      <c r="D120" s="413"/>
      <c r="E120" s="413"/>
      <c r="F120" s="413"/>
      <c r="G120" s="413"/>
      <c r="H120" s="413"/>
      <c r="I120" s="413"/>
      <c r="J120" s="413"/>
      <c r="K120" s="413"/>
      <c r="L120" s="413"/>
      <c r="M120" s="467">
        <v>0</v>
      </c>
      <c r="N120" s="437"/>
      <c r="O120" s="387"/>
    </row>
    <row r="121" spans="1:15" x14ac:dyDescent="0.3">
      <c r="A121" s="412"/>
      <c r="B121" s="413" t="s">
        <v>67</v>
      </c>
      <c r="C121" s="413"/>
      <c r="D121" s="413"/>
      <c r="E121" s="413"/>
      <c r="F121" s="413"/>
      <c r="G121" s="413"/>
      <c r="H121" s="413"/>
      <c r="I121" s="413"/>
      <c r="J121" s="413"/>
      <c r="K121" s="413"/>
      <c r="L121" s="413"/>
      <c r="M121" s="467">
        <v>0</v>
      </c>
      <c r="N121" s="437"/>
      <c r="O121" s="387"/>
    </row>
    <row r="122" spans="1:15" x14ac:dyDescent="0.3">
      <c r="A122" s="412"/>
      <c r="B122" s="413" t="s">
        <v>68</v>
      </c>
      <c r="C122" s="413"/>
      <c r="D122" s="413"/>
      <c r="E122" s="413"/>
      <c r="F122" s="413"/>
      <c r="G122" s="413"/>
      <c r="H122" s="413"/>
      <c r="I122" s="413"/>
      <c r="J122" s="413"/>
      <c r="K122" s="413"/>
      <c r="L122" s="413"/>
      <c r="M122" s="467">
        <v>0</v>
      </c>
      <c r="N122" s="437"/>
      <c r="O122" s="387"/>
    </row>
    <row r="123" spans="1:15" x14ac:dyDescent="0.3">
      <c r="A123" s="412"/>
      <c r="B123" s="413" t="s">
        <v>51</v>
      </c>
      <c r="C123" s="413"/>
      <c r="D123" s="413"/>
      <c r="E123" s="413"/>
      <c r="F123" s="413"/>
      <c r="G123" s="413"/>
      <c r="H123" s="413"/>
      <c r="I123" s="413"/>
      <c r="J123" s="413"/>
      <c r="K123" s="413"/>
      <c r="L123" s="413"/>
      <c r="M123" s="467">
        <v>0</v>
      </c>
      <c r="N123" s="437"/>
      <c r="O123" s="387"/>
    </row>
    <row r="124" spans="1:15" x14ac:dyDescent="0.3">
      <c r="A124" s="412"/>
      <c r="B124" s="413" t="s">
        <v>52</v>
      </c>
      <c r="C124" s="413"/>
      <c r="D124" s="413"/>
      <c r="E124" s="413"/>
      <c r="F124" s="413"/>
      <c r="G124" s="413"/>
      <c r="H124" s="413"/>
      <c r="I124" s="413"/>
      <c r="J124" s="413"/>
      <c r="K124" s="413"/>
      <c r="L124" s="413"/>
      <c r="M124" s="467">
        <v>0</v>
      </c>
      <c r="N124" s="437"/>
      <c r="O124" s="387"/>
    </row>
    <row r="125" spans="1:15" x14ac:dyDescent="0.3">
      <c r="A125" s="412"/>
      <c r="B125" s="413" t="s">
        <v>172</v>
      </c>
      <c r="C125" s="413"/>
      <c r="D125" s="413"/>
      <c r="E125" s="413"/>
      <c r="F125" s="413"/>
      <c r="G125" s="413"/>
      <c r="H125" s="413"/>
      <c r="I125" s="413"/>
      <c r="J125" s="413"/>
      <c r="K125" s="413"/>
      <c r="L125" s="413"/>
      <c r="M125" s="467">
        <v>0</v>
      </c>
      <c r="N125" s="437"/>
      <c r="O125" s="387"/>
    </row>
    <row r="126" spans="1:15" x14ac:dyDescent="0.3">
      <c r="A126" s="412"/>
      <c r="B126" s="413" t="s">
        <v>69</v>
      </c>
      <c r="C126" s="413"/>
      <c r="D126" s="413"/>
      <c r="E126" s="413"/>
      <c r="F126" s="413"/>
      <c r="G126" s="413"/>
      <c r="H126" s="413"/>
      <c r="I126" s="413"/>
      <c r="J126" s="413"/>
      <c r="K126" s="413"/>
      <c r="L126" s="413"/>
      <c r="M126" s="467">
        <v>0</v>
      </c>
      <c r="N126" s="437"/>
      <c r="O126" s="387"/>
    </row>
    <row r="127" spans="1:15" x14ac:dyDescent="0.3">
      <c r="A127" s="412"/>
      <c r="B127" s="413" t="s">
        <v>193</v>
      </c>
      <c r="C127" s="413"/>
      <c r="D127" s="413"/>
      <c r="E127" s="413"/>
      <c r="F127" s="413"/>
      <c r="G127" s="413"/>
      <c r="H127" s="413"/>
      <c r="I127" s="413"/>
      <c r="J127" s="413"/>
      <c r="K127" s="413"/>
      <c r="L127" s="413"/>
      <c r="M127" s="467">
        <f>-M98</f>
        <v>0</v>
      </c>
      <c r="N127" s="437"/>
      <c r="O127" s="387"/>
    </row>
    <row r="128" spans="1:15" x14ac:dyDescent="0.3">
      <c r="A128" s="412"/>
      <c r="B128" s="413" t="s">
        <v>258</v>
      </c>
      <c r="C128" s="413"/>
      <c r="D128" s="413"/>
      <c r="E128" s="413"/>
      <c r="F128" s="413"/>
      <c r="G128" s="413"/>
      <c r="H128" s="413"/>
      <c r="I128" s="413"/>
      <c r="J128" s="413"/>
      <c r="K128" s="413"/>
      <c r="L128" s="413"/>
      <c r="M128" s="467">
        <v>0</v>
      </c>
      <c r="N128" s="437"/>
      <c r="O128" s="387"/>
    </row>
    <row r="129" spans="1:15" x14ac:dyDescent="0.3">
      <c r="A129" s="412"/>
      <c r="B129" s="413" t="s">
        <v>70</v>
      </c>
      <c r="C129" s="413"/>
      <c r="D129" s="413"/>
      <c r="E129" s="413"/>
      <c r="F129" s="413"/>
      <c r="G129" s="413"/>
      <c r="H129" s="413"/>
      <c r="I129" s="413"/>
      <c r="J129" s="413"/>
      <c r="K129" s="413"/>
      <c r="L129" s="413"/>
      <c r="M129" s="467">
        <f>SUM(M119:M128)</f>
        <v>15900</v>
      </c>
      <c r="N129" s="437"/>
      <c r="O129" s="387"/>
    </row>
    <row r="130" spans="1:15" x14ac:dyDescent="0.3">
      <c r="A130" s="389"/>
      <c r="B130" s="448"/>
      <c r="C130" s="448"/>
      <c r="D130" s="448"/>
      <c r="E130" s="448"/>
      <c r="F130" s="448"/>
      <c r="G130" s="448"/>
      <c r="H130" s="448"/>
      <c r="I130" s="448"/>
      <c r="J130" s="448"/>
      <c r="K130" s="448"/>
      <c r="L130" s="448"/>
      <c r="M130" s="499"/>
      <c r="N130" s="591"/>
      <c r="O130" s="387"/>
    </row>
    <row r="131" spans="1:15" x14ac:dyDescent="0.3">
      <c r="A131" s="389"/>
      <c r="B131" s="498" t="s">
        <v>37</v>
      </c>
      <c r="C131" s="391"/>
      <c r="D131" s="391"/>
      <c r="E131" s="391"/>
      <c r="F131" s="391"/>
      <c r="G131" s="391"/>
      <c r="H131" s="391"/>
      <c r="I131" s="391"/>
      <c r="J131" s="391"/>
      <c r="K131" s="391"/>
      <c r="L131" s="391"/>
      <c r="M131" s="461"/>
      <c r="N131" s="591"/>
      <c r="O131" s="387"/>
    </row>
    <row r="132" spans="1:15" x14ac:dyDescent="0.3">
      <c r="A132" s="412"/>
      <c r="B132" s="413" t="s">
        <v>71</v>
      </c>
      <c r="C132" s="413"/>
      <c r="D132" s="413"/>
      <c r="E132" s="500"/>
      <c r="F132" s="413"/>
      <c r="G132" s="413"/>
      <c r="H132" s="413"/>
      <c r="I132" s="413"/>
      <c r="J132" s="413"/>
      <c r="K132" s="413"/>
      <c r="L132" s="413"/>
      <c r="M132" s="501" t="s">
        <v>136</v>
      </c>
      <c r="N132" s="437"/>
      <c r="O132" s="387"/>
    </row>
    <row r="133" spans="1:15" x14ac:dyDescent="0.3">
      <c r="A133" s="412"/>
      <c r="B133" s="413" t="s">
        <v>72</v>
      </c>
      <c r="C133" s="413"/>
      <c r="D133" s="413"/>
      <c r="E133" s="413"/>
      <c r="F133" s="413"/>
      <c r="G133" s="413"/>
      <c r="H133" s="413"/>
      <c r="I133" s="413"/>
      <c r="J133" s="413"/>
      <c r="K133" s="413"/>
      <c r="L133" s="413"/>
      <c r="M133" s="501" t="s">
        <v>136</v>
      </c>
      <c r="N133" s="437"/>
      <c r="O133" s="387"/>
    </row>
    <row r="134" spans="1:15" x14ac:dyDescent="0.3">
      <c r="A134" s="412"/>
      <c r="B134" s="413" t="s">
        <v>73</v>
      </c>
      <c r="C134" s="413"/>
      <c r="D134" s="413"/>
      <c r="E134" s="413"/>
      <c r="F134" s="413"/>
      <c r="G134" s="413"/>
      <c r="H134" s="413"/>
      <c r="I134" s="413"/>
      <c r="J134" s="413"/>
      <c r="K134" s="413"/>
      <c r="L134" s="413"/>
      <c r="M134" s="501" t="s">
        <v>136</v>
      </c>
      <c r="N134" s="437"/>
      <c r="O134" s="387"/>
    </row>
    <row r="135" spans="1:15" x14ac:dyDescent="0.3">
      <c r="A135" s="412"/>
      <c r="B135" s="413" t="s">
        <v>74</v>
      </c>
      <c r="C135" s="413"/>
      <c r="D135" s="413"/>
      <c r="E135" s="413"/>
      <c r="F135" s="413"/>
      <c r="G135" s="413"/>
      <c r="H135" s="413"/>
      <c r="I135" s="413"/>
      <c r="J135" s="413"/>
      <c r="K135" s="413"/>
      <c r="L135" s="413"/>
      <c r="M135" s="501" t="s">
        <v>136</v>
      </c>
      <c r="N135" s="437"/>
      <c r="O135" s="387"/>
    </row>
    <row r="136" spans="1:15" x14ac:dyDescent="0.3">
      <c r="A136" s="389"/>
      <c r="B136" s="448"/>
      <c r="C136" s="448"/>
      <c r="D136" s="448"/>
      <c r="E136" s="448"/>
      <c r="F136" s="448"/>
      <c r="G136" s="448"/>
      <c r="H136" s="448"/>
      <c r="I136" s="448"/>
      <c r="J136" s="448"/>
      <c r="K136" s="448"/>
      <c r="L136" s="448"/>
      <c r="M136" s="499"/>
      <c r="N136" s="591"/>
      <c r="O136" s="387"/>
    </row>
    <row r="137" spans="1:15" x14ac:dyDescent="0.3">
      <c r="A137" s="389"/>
      <c r="B137" s="498" t="s">
        <v>75</v>
      </c>
      <c r="C137" s="399"/>
      <c r="D137" s="399"/>
      <c r="E137" s="391"/>
      <c r="F137" s="391"/>
      <c r="G137" s="391"/>
      <c r="H137" s="391"/>
      <c r="I137" s="391"/>
      <c r="J137" s="391"/>
      <c r="K137" s="391"/>
      <c r="L137" s="391"/>
      <c r="M137" s="502"/>
      <c r="N137" s="591"/>
      <c r="O137" s="387"/>
    </row>
    <row r="138" spans="1:15" x14ac:dyDescent="0.3">
      <c r="A138" s="412"/>
      <c r="B138" s="413" t="s">
        <v>76</v>
      </c>
      <c r="C138" s="413"/>
      <c r="D138" s="413"/>
      <c r="E138" s="413"/>
      <c r="F138" s="413"/>
      <c r="G138" s="413"/>
      <c r="H138" s="413"/>
      <c r="I138" s="413"/>
      <c r="J138" s="413"/>
      <c r="K138" s="413"/>
      <c r="L138" s="413"/>
      <c r="M138" s="467">
        <v>0</v>
      </c>
      <c r="N138" s="437"/>
      <c r="O138" s="387"/>
    </row>
    <row r="139" spans="1:15" x14ac:dyDescent="0.3">
      <c r="A139" s="412"/>
      <c r="B139" s="413" t="s">
        <v>190</v>
      </c>
      <c r="C139" s="413"/>
      <c r="D139" s="413"/>
      <c r="E139" s="413"/>
      <c r="F139" s="413"/>
      <c r="G139" s="413"/>
      <c r="H139" s="413"/>
      <c r="I139" s="413"/>
      <c r="J139" s="413"/>
      <c r="K139" s="413"/>
      <c r="L139" s="413"/>
      <c r="M139" s="467">
        <v>-112</v>
      </c>
      <c r="N139" s="437"/>
      <c r="O139" s="387"/>
    </row>
    <row r="140" spans="1:15" x14ac:dyDescent="0.3">
      <c r="A140" s="412"/>
      <c r="B140" s="413" t="s">
        <v>180</v>
      </c>
      <c r="C140" s="413"/>
      <c r="D140" s="413"/>
      <c r="E140" s="413"/>
      <c r="F140" s="413"/>
      <c r="G140" s="413"/>
      <c r="H140" s="413"/>
      <c r="I140" s="413"/>
      <c r="J140" s="413"/>
      <c r="K140" s="413"/>
      <c r="L140" s="413"/>
      <c r="M140" s="467">
        <f>91-28</f>
        <v>63</v>
      </c>
      <c r="N140" s="437"/>
      <c r="O140" s="387"/>
    </row>
    <row r="141" spans="1:15" x14ac:dyDescent="0.3">
      <c r="A141" s="412"/>
      <c r="B141" s="413" t="s">
        <v>77</v>
      </c>
      <c r="C141" s="413"/>
      <c r="D141" s="413"/>
      <c r="E141" s="413"/>
      <c r="F141" s="413"/>
      <c r="G141" s="413"/>
      <c r="H141" s="413"/>
      <c r="I141" s="413"/>
      <c r="J141" s="413"/>
      <c r="K141" s="413"/>
      <c r="L141" s="413"/>
      <c r="M141" s="467">
        <f>M139+M138+M140</f>
        <v>-49</v>
      </c>
      <c r="N141" s="437"/>
      <c r="O141" s="387"/>
    </row>
    <row r="142" spans="1:15" x14ac:dyDescent="0.3">
      <c r="A142" s="412"/>
      <c r="B142" s="413" t="s">
        <v>183</v>
      </c>
      <c r="C142" s="413"/>
      <c r="D142" s="413"/>
      <c r="E142" s="413"/>
      <c r="F142" s="413"/>
      <c r="G142" s="413"/>
      <c r="H142" s="413"/>
      <c r="I142" s="444"/>
      <c r="J142" s="413"/>
      <c r="K142" s="413"/>
      <c r="L142" s="413"/>
      <c r="M142" s="467">
        <f>M97</f>
        <v>49</v>
      </c>
      <c r="N142" s="437"/>
      <c r="O142" s="387"/>
    </row>
    <row r="143" spans="1:15" x14ac:dyDescent="0.3">
      <c r="A143" s="412"/>
      <c r="B143" s="413" t="s">
        <v>78</v>
      </c>
      <c r="C143" s="413"/>
      <c r="D143" s="413"/>
      <c r="E143" s="413"/>
      <c r="F143" s="413"/>
      <c r="G143" s="413"/>
      <c r="H143" s="413"/>
      <c r="I143" s="413"/>
      <c r="J143" s="413"/>
      <c r="K143" s="413"/>
      <c r="L143" s="413"/>
      <c r="M143" s="467">
        <f>M141+M142</f>
        <v>0</v>
      </c>
      <c r="N143" s="437"/>
      <c r="O143" s="387"/>
    </row>
    <row r="144" spans="1:15" ht="16.2" thickBot="1" x14ac:dyDescent="0.35">
      <c r="A144" s="389"/>
      <c r="B144" s="448"/>
      <c r="C144" s="448"/>
      <c r="D144" s="448"/>
      <c r="E144" s="448"/>
      <c r="F144" s="448"/>
      <c r="G144" s="448"/>
      <c r="H144" s="448"/>
      <c r="I144" s="448"/>
      <c r="J144" s="448"/>
      <c r="K144" s="448"/>
      <c r="L144" s="448"/>
      <c r="M144" s="499"/>
      <c r="N144" s="591"/>
      <c r="O144" s="387"/>
    </row>
    <row r="145" spans="1:16" x14ac:dyDescent="0.3">
      <c r="A145" s="383"/>
      <c r="B145" s="386"/>
      <c r="C145" s="386"/>
      <c r="D145" s="386"/>
      <c r="E145" s="386"/>
      <c r="F145" s="386"/>
      <c r="G145" s="386"/>
      <c r="H145" s="386"/>
      <c r="I145" s="386"/>
      <c r="J145" s="386"/>
      <c r="K145" s="386"/>
      <c r="L145" s="386"/>
      <c r="M145" s="503"/>
      <c r="N145" s="590"/>
      <c r="O145" s="387"/>
    </row>
    <row r="146" spans="1:16" x14ac:dyDescent="0.3">
      <c r="A146" s="389"/>
      <c r="B146" s="498" t="s">
        <v>79</v>
      </c>
      <c r="C146" s="399"/>
      <c r="D146" s="399"/>
      <c r="E146" s="391"/>
      <c r="F146" s="391"/>
      <c r="G146" s="391"/>
      <c r="H146" s="391"/>
      <c r="I146" s="391"/>
      <c r="J146" s="391"/>
      <c r="K146" s="391"/>
      <c r="L146" s="391"/>
      <c r="M146" s="461"/>
      <c r="N146" s="591"/>
      <c r="O146" s="387"/>
    </row>
    <row r="147" spans="1:16" x14ac:dyDescent="0.3">
      <c r="A147" s="389"/>
      <c r="B147" s="497"/>
      <c r="C147" s="399"/>
      <c r="D147" s="399"/>
      <c r="E147" s="391"/>
      <c r="F147" s="391"/>
      <c r="G147" s="391"/>
      <c r="H147" s="391"/>
      <c r="I147" s="391"/>
      <c r="J147" s="391"/>
      <c r="K147" s="391"/>
      <c r="L147" s="391"/>
      <c r="M147" s="461"/>
      <c r="N147" s="591"/>
      <c r="O147" s="387"/>
    </row>
    <row r="148" spans="1:16" x14ac:dyDescent="0.3">
      <c r="A148" s="504"/>
      <c r="B148" s="505" t="s">
        <v>188</v>
      </c>
      <c r="C148" s="506"/>
      <c r="D148" s="506"/>
      <c r="E148" s="505"/>
      <c r="F148" s="505"/>
      <c r="G148" s="505"/>
      <c r="H148" s="505"/>
      <c r="I148" s="505"/>
      <c r="J148" s="505"/>
      <c r="K148" s="505"/>
      <c r="L148" s="505"/>
      <c r="M148" s="507">
        <f>+M62+M72+M73</f>
        <v>38386</v>
      </c>
      <c r="N148" s="508"/>
      <c r="O148" s="387"/>
      <c r="P148" s="472"/>
    </row>
    <row r="149" spans="1:16" x14ac:dyDescent="0.3">
      <c r="A149" s="412"/>
      <c r="B149" s="413" t="s">
        <v>80</v>
      </c>
      <c r="C149" s="419"/>
      <c r="D149" s="419"/>
      <c r="E149" s="413"/>
      <c r="F149" s="413"/>
      <c r="G149" s="413"/>
      <c r="H149" s="413"/>
      <c r="I149" s="413"/>
      <c r="J149" s="413"/>
      <c r="K149" s="413"/>
      <c r="L149" s="413"/>
      <c r="M149" s="467">
        <f>M75</f>
        <v>38386</v>
      </c>
      <c r="N149" s="437"/>
      <c r="O149" s="387"/>
    </row>
    <row r="150" spans="1:16" ht="16.2" thickBot="1" x14ac:dyDescent="0.35">
      <c r="A150" s="389"/>
      <c r="B150" s="448"/>
      <c r="C150" s="448"/>
      <c r="D150" s="448"/>
      <c r="E150" s="448"/>
      <c r="F150" s="448"/>
      <c r="G150" s="448"/>
      <c r="H150" s="448"/>
      <c r="I150" s="448"/>
      <c r="J150" s="448"/>
      <c r="K150" s="448"/>
      <c r="L150" s="448"/>
      <c r="M150" s="499"/>
      <c r="N150" s="591"/>
      <c r="O150" s="387"/>
    </row>
    <row r="151" spans="1:16" x14ac:dyDescent="0.3">
      <c r="A151" s="383"/>
      <c r="B151" s="386"/>
      <c r="C151" s="386"/>
      <c r="D151" s="386"/>
      <c r="E151" s="386"/>
      <c r="F151" s="386"/>
      <c r="G151" s="386"/>
      <c r="H151" s="386"/>
      <c r="I151" s="386"/>
      <c r="J151" s="386"/>
      <c r="K151" s="386"/>
      <c r="L151" s="386"/>
      <c r="M151" s="503"/>
      <c r="N151" s="590"/>
      <c r="O151" s="387"/>
    </row>
    <row r="152" spans="1:16" x14ac:dyDescent="0.3">
      <c r="A152" s="389"/>
      <c r="B152" s="498" t="s">
        <v>81</v>
      </c>
      <c r="C152" s="509"/>
      <c r="D152" s="509"/>
      <c r="E152" s="465"/>
      <c r="F152" s="465"/>
      <c r="G152" s="465"/>
      <c r="H152" s="465"/>
      <c r="I152" s="510" t="s">
        <v>127</v>
      </c>
      <c r="J152" s="510"/>
      <c r="K152" s="510" t="s">
        <v>134</v>
      </c>
      <c r="L152" s="393"/>
      <c r="M152" s="511" t="s">
        <v>144</v>
      </c>
      <c r="N152" s="596"/>
      <c r="O152" s="387"/>
    </row>
    <row r="153" spans="1:16" x14ac:dyDescent="0.3">
      <c r="A153" s="412"/>
      <c r="B153" s="413" t="s">
        <v>82</v>
      </c>
      <c r="C153" s="413"/>
      <c r="D153" s="413"/>
      <c r="E153" s="413"/>
      <c r="F153" s="413"/>
      <c r="G153" s="413"/>
      <c r="H153" s="413"/>
      <c r="I153" s="467">
        <v>15000</v>
      </c>
      <c r="J153" s="413"/>
      <c r="K153" s="512">
        <v>5000</v>
      </c>
      <c r="L153" s="413"/>
      <c r="M153" s="467">
        <v>15000</v>
      </c>
      <c r="N153" s="417"/>
      <c r="O153" s="387"/>
    </row>
    <row r="154" spans="1:16" x14ac:dyDescent="0.3">
      <c r="A154" s="412"/>
      <c r="B154" s="413" t="s">
        <v>83</v>
      </c>
      <c r="C154" s="413"/>
      <c r="D154" s="413"/>
      <c r="E154" s="413"/>
      <c r="F154" s="413"/>
      <c r="G154" s="413"/>
      <c r="H154" s="413"/>
      <c r="I154" s="467">
        <f>+'Oct 17'!I156:J156</f>
        <v>7636</v>
      </c>
      <c r="J154" s="413"/>
      <c r="K154" s="467">
        <f>+'Oct 17'!K156</f>
        <v>0</v>
      </c>
      <c r="L154" s="413"/>
      <c r="M154" s="467">
        <f>K154+I154</f>
        <v>7636</v>
      </c>
      <c r="N154" s="417"/>
      <c r="O154" s="387"/>
    </row>
    <row r="155" spans="1:16" x14ac:dyDescent="0.3">
      <c r="A155" s="412"/>
      <c r="B155" s="413" t="s">
        <v>84</v>
      </c>
      <c r="C155" s="413"/>
      <c r="D155" s="413"/>
      <c r="E155" s="413"/>
      <c r="F155" s="413"/>
      <c r="G155" s="413"/>
      <c r="H155" s="413"/>
      <c r="I155" s="466">
        <v>0</v>
      </c>
      <c r="J155" s="413"/>
      <c r="K155" s="413">
        <v>0</v>
      </c>
      <c r="L155" s="413"/>
      <c r="M155" s="467">
        <f>K155+I155</f>
        <v>0</v>
      </c>
      <c r="N155" s="417"/>
      <c r="O155" s="387"/>
    </row>
    <row r="156" spans="1:16" x14ac:dyDescent="0.3">
      <c r="A156" s="412"/>
      <c r="B156" s="413" t="s">
        <v>85</v>
      </c>
      <c r="C156" s="413"/>
      <c r="D156" s="413"/>
      <c r="E156" s="413"/>
      <c r="F156" s="413"/>
      <c r="G156" s="413"/>
      <c r="H156" s="413"/>
      <c r="I156" s="467">
        <f>I154+I155</f>
        <v>7636</v>
      </c>
      <c r="J156" s="413"/>
      <c r="K156" s="467">
        <f>K155+K154</f>
        <v>0</v>
      </c>
      <c r="L156" s="413"/>
      <c r="M156" s="467">
        <f>K156+I156</f>
        <v>7636</v>
      </c>
      <c r="N156" s="417"/>
      <c r="O156" s="387"/>
    </row>
    <row r="157" spans="1:16" x14ac:dyDescent="0.3">
      <c r="A157" s="412"/>
      <c r="B157" s="413" t="s">
        <v>86</v>
      </c>
      <c r="C157" s="413"/>
      <c r="D157" s="413"/>
      <c r="E157" s="413"/>
      <c r="F157" s="413"/>
      <c r="G157" s="413"/>
      <c r="H157" s="413"/>
      <c r="I157" s="467">
        <f>I153-I156-K156</f>
        <v>7364</v>
      </c>
      <c r="J157" s="413"/>
      <c r="K157" s="441">
        <v>0</v>
      </c>
      <c r="L157" s="413"/>
      <c r="M157" s="467"/>
      <c r="N157" s="417"/>
      <c r="O157" s="387"/>
    </row>
    <row r="158" spans="1:16" ht="16.2" thickBot="1" x14ac:dyDescent="0.35">
      <c r="A158" s="389"/>
      <c r="B158" s="448"/>
      <c r="C158" s="448"/>
      <c r="D158" s="448"/>
      <c r="E158" s="448"/>
      <c r="F158" s="448"/>
      <c r="G158" s="448"/>
      <c r="H158" s="448"/>
      <c r="I158" s="448"/>
      <c r="J158" s="448"/>
      <c r="K158" s="448"/>
      <c r="L158" s="448"/>
      <c r="M158" s="499"/>
      <c r="N158" s="591"/>
      <c r="O158" s="387"/>
    </row>
    <row r="159" spans="1:16" x14ac:dyDescent="0.3">
      <c r="A159" s="383"/>
      <c r="B159" s="386"/>
      <c r="C159" s="386"/>
      <c r="D159" s="386"/>
      <c r="E159" s="386"/>
      <c r="F159" s="386"/>
      <c r="G159" s="386"/>
      <c r="H159" s="386"/>
      <c r="I159" s="386"/>
      <c r="J159" s="386"/>
      <c r="K159" s="386"/>
      <c r="L159" s="386"/>
      <c r="M159" s="503"/>
      <c r="N159" s="590"/>
      <c r="O159" s="387"/>
    </row>
    <row r="160" spans="1:16" x14ac:dyDescent="0.3">
      <c r="A160" s="389"/>
      <c r="B160" s="498" t="s">
        <v>87</v>
      </c>
      <c r="C160" s="399"/>
      <c r="D160" s="399"/>
      <c r="E160" s="391"/>
      <c r="F160" s="391"/>
      <c r="G160" s="391"/>
      <c r="H160" s="391"/>
      <c r="I160" s="391"/>
      <c r="J160" s="391"/>
      <c r="K160" s="391"/>
      <c r="L160" s="391"/>
      <c r="M160" s="513"/>
      <c r="N160" s="591"/>
      <c r="O160" s="387"/>
    </row>
    <row r="161" spans="1:15" x14ac:dyDescent="0.3">
      <c r="A161" s="412"/>
      <c r="B161" s="413" t="s">
        <v>88</v>
      </c>
      <c r="C161" s="413"/>
      <c r="D161" s="413"/>
      <c r="E161" s="413"/>
      <c r="F161" s="413"/>
      <c r="G161" s="413"/>
      <c r="H161" s="413"/>
      <c r="I161" s="413"/>
      <c r="J161" s="413"/>
      <c r="K161" s="413"/>
      <c r="L161" s="413"/>
      <c r="M161" s="514">
        <f>(M87+M89+M90+M91+M92)/-M93</f>
        <v>21.134615384615383</v>
      </c>
      <c r="N161" s="437" t="s">
        <v>145</v>
      </c>
      <c r="O161" s="387"/>
    </row>
    <row r="162" spans="1:15" x14ac:dyDescent="0.3">
      <c r="A162" s="412"/>
      <c r="B162" s="413" t="s">
        <v>89</v>
      </c>
      <c r="C162" s="413"/>
      <c r="D162" s="413"/>
      <c r="E162" s="413"/>
      <c r="F162" s="413"/>
      <c r="G162" s="413"/>
      <c r="H162" s="413"/>
      <c r="I162" s="413"/>
      <c r="J162" s="413"/>
      <c r="K162" s="413"/>
      <c r="L162" s="413"/>
      <c r="M162" s="515">
        <v>3.87</v>
      </c>
      <c r="N162" s="437" t="s">
        <v>145</v>
      </c>
      <c r="O162" s="387"/>
    </row>
    <row r="163" spans="1:15" x14ac:dyDescent="0.3">
      <c r="A163" s="412"/>
      <c r="B163" s="413" t="s">
        <v>90</v>
      </c>
      <c r="C163" s="413"/>
      <c r="D163" s="413"/>
      <c r="E163" s="413"/>
      <c r="F163" s="413"/>
      <c r="G163" s="413"/>
      <c r="H163" s="413"/>
      <c r="I163" s="413"/>
      <c r="J163" s="413"/>
      <c r="K163" s="413"/>
      <c r="L163" s="413"/>
      <c r="M163" s="514">
        <f>(M87+M89+M90+M91+M92+M93)/-M94</f>
        <v>17.745762711864408</v>
      </c>
      <c r="N163" s="437" t="s">
        <v>145</v>
      </c>
      <c r="O163" s="387"/>
    </row>
    <row r="164" spans="1:15" x14ac:dyDescent="0.3">
      <c r="A164" s="412"/>
      <c r="B164" s="413" t="s">
        <v>91</v>
      </c>
      <c r="C164" s="413"/>
      <c r="D164" s="413"/>
      <c r="E164" s="413"/>
      <c r="F164" s="413"/>
      <c r="G164" s="413"/>
      <c r="H164" s="413"/>
      <c r="I164" s="413"/>
      <c r="J164" s="413"/>
      <c r="K164" s="413"/>
      <c r="L164" s="413"/>
      <c r="M164" s="516">
        <v>10.210000000000001</v>
      </c>
      <c r="N164" s="437" t="s">
        <v>145</v>
      </c>
      <c r="O164" s="387"/>
    </row>
    <row r="165" spans="1:15" x14ac:dyDescent="0.3">
      <c r="A165" s="412"/>
      <c r="B165" s="413" t="s">
        <v>181</v>
      </c>
      <c r="C165" s="413"/>
      <c r="D165" s="413"/>
      <c r="E165" s="413"/>
      <c r="F165" s="413"/>
      <c r="G165" s="413"/>
      <c r="H165" s="413"/>
      <c r="I165" s="413"/>
      <c r="J165" s="413"/>
      <c r="K165" s="413"/>
      <c r="L165" s="413"/>
      <c r="M165" s="514">
        <f>(M87+M89+M90+M91+M92+M93+M94)/-M95</f>
        <v>21.021276595744681</v>
      </c>
      <c r="N165" s="437" t="s">
        <v>145</v>
      </c>
      <c r="O165" s="387"/>
    </row>
    <row r="166" spans="1:15" x14ac:dyDescent="0.3">
      <c r="A166" s="412"/>
      <c r="B166" s="413" t="s">
        <v>182</v>
      </c>
      <c r="C166" s="413"/>
      <c r="D166" s="413"/>
      <c r="E166" s="413"/>
      <c r="F166" s="413"/>
      <c r="G166" s="413"/>
      <c r="H166" s="413"/>
      <c r="I166" s="413"/>
      <c r="J166" s="413"/>
      <c r="K166" s="413"/>
      <c r="L166" s="413"/>
      <c r="M166" s="516">
        <v>12.98</v>
      </c>
      <c r="N166" s="437" t="s">
        <v>145</v>
      </c>
      <c r="O166" s="387"/>
    </row>
    <row r="167" spans="1:15" x14ac:dyDescent="0.3">
      <c r="A167" s="412"/>
      <c r="B167" s="416"/>
      <c r="C167" s="416"/>
      <c r="D167" s="416"/>
      <c r="E167" s="416"/>
      <c r="F167" s="416"/>
      <c r="G167" s="416"/>
      <c r="H167" s="416"/>
      <c r="I167" s="416"/>
      <c r="J167" s="416"/>
      <c r="K167" s="416"/>
      <c r="L167" s="416"/>
      <c r="M167" s="416"/>
      <c r="N167" s="417"/>
      <c r="O167" s="387"/>
    </row>
    <row r="168" spans="1:15" x14ac:dyDescent="0.3">
      <c r="A168" s="389"/>
      <c r="B168" s="448"/>
      <c r="C168" s="448"/>
      <c r="D168" s="448"/>
      <c r="E168" s="448"/>
      <c r="F168" s="448"/>
      <c r="G168" s="448"/>
      <c r="H168" s="448"/>
      <c r="I168" s="448"/>
      <c r="J168" s="448"/>
      <c r="K168" s="448"/>
      <c r="L168" s="448"/>
      <c r="M168" s="448"/>
      <c r="N168" s="591"/>
      <c r="O168" s="387"/>
    </row>
    <row r="169" spans="1:15" x14ac:dyDescent="0.3">
      <c r="A169" s="389"/>
      <c r="B169" s="391"/>
      <c r="C169" s="391"/>
      <c r="D169" s="391"/>
      <c r="E169" s="391"/>
      <c r="F169" s="391"/>
      <c r="G169" s="391"/>
      <c r="H169" s="391"/>
      <c r="I169" s="391"/>
      <c r="J169" s="391"/>
      <c r="K169" s="391"/>
      <c r="L169" s="391"/>
      <c r="M169" s="391"/>
      <c r="N169" s="591"/>
      <c r="O169" s="387"/>
    </row>
    <row r="170" spans="1:15" ht="18.600000000000001" thickBot="1" x14ac:dyDescent="0.4">
      <c r="A170" s="453"/>
      <c r="B170" s="454" t="str">
        <f>B114</f>
        <v>PSF1 INVESTOR REPORT QUARTER ENDING JANUARY 2018</v>
      </c>
      <c r="C170" s="455"/>
      <c r="D170" s="455"/>
      <c r="E170" s="455"/>
      <c r="F170" s="455"/>
      <c r="G170" s="455"/>
      <c r="H170" s="455"/>
      <c r="I170" s="455"/>
      <c r="J170" s="455"/>
      <c r="K170" s="455"/>
      <c r="L170" s="455"/>
      <c r="M170" s="455"/>
      <c r="N170" s="457"/>
      <c r="O170" s="387"/>
    </row>
    <row r="171" spans="1:15" x14ac:dyDescent="0.3">
      <c r="A171" s="517"/>
      <c r="B171" s="493" t="s">
        <v>92</v>
      </c>
      <c r="C171" s="518"/>
      <c r="D171" s="518"/>
      <c r="E171" s="518"/>
      <c r="F171" s="518"/>
      <c r="G171" s="518"/>
      <c r="H171" s="519"/>
      <c r="I171" s="519"/>
      <c r="J171" s="519"/>
      <c r="K171" s="519">
        <v>43131</v>
      </c>
      <c r="L171" s="520"/>
      <c r="M171" s="520"/>
      <c r="N171" s="597"/>
      <c r="O171" s="387"/>
    </row>
    <row r="172" spans="1:15" x14ac:dyDescent="0.3">
      <c r="A172" s="521"/>
      <c r="B172" s="522"/>
      <c r="C172" s="523"/>
      <c r="D172" s="523"/>
      <c r="E172" s="523"/>
      <c r="F172" s="523"/>
      <c r="G172" s="523"/>
      <c r="H172" s="524"/>
      <c r="I172" s="524"/>
      <c r="J172" s="524"/>
      <c r="K172" s="524"/>
      <c r="L172" s="391"/>
      <c r="M172" s="391"/>
      <c r="N172" s="591"/>
      <c r="O172" s="387"/>
    </row>
    <row r="173" spans="1:15" x14ac:dyDescent="0.3">
      <c r="A173" s="525"/>
      <c r="B173" s="413" t="s">
        <v>93</v>
      </c>
      <c r="C173" s="526"/>
      <c r="D173" s="526"/>
      <c r="E173" s="526"/>
      <c r="F173" s="526"/>
      <c r="G173" s="526"/>
      <c r="H173" s="444"/>
      <c r="I173" s="444"/>
      <c r="J173" s="444"/>
      <c r="K173" s="439">
        <v>9.4600000000000004E-2</v>
      </c>
      <c r="L173" s="413"/>
      <c r="M173" s="424"/>
      <c r="N173" s="437"/>
      <c r="O173" s="387"/>
    </row>
    <row r="174" spans="1:15" x14ac:dyDescent="0.3">
      <c r="A174" s="525"/>
      <c r="B174" s="413" t="s">
        <v>94</v>
      </c>
      <c r="C174" s="526"/>
      <c r="D174" s="526"/>
      <c r="E174" s="526"/>
      <c r="F174" s="526"/>
      <c r="G174" s="526"/>
      <c r="H174" s="444"/>
      <c r="I174" s="444"/>
      <c r="J174" s="444"/>
      <c r="K174" s="439">
        <v>5.2327499999999992E-2</v>
      </c>
      <c r="L174" s="413"/>
      <c r="M174" s="424"/>
      <c r="N174" s="437"/>
      <c r="O174" s="387"/>
    </row>
    <row r="175" spans="1:15" x14ac:dyDescent="0.3">
      <c r="A175" s="525"/>
      <c r="B175" s="413" t="s">
        <v>95</v>
      </c>
      <c r="C175" s="526"/>
      <c r="D175" s="526"/>
      <c r="E175" s="526"/>
      <c r="F175" s="526"/>
      <c r="G175" s="526"/>
      <c r="H175" s="444"/>
      <c r="I175" s="444"/>
      <c r="J175" s="444"/>
      <c r="K175" s="439">
        <f>K173-K174</f>
        <v>4.2272500000000011E-2</v>
      </c>
      <c r="L175" s="413"/>
      <c r="M175" s="424"/>
      <c r="N175" s="437"/>
      <c r="O175" s="387"/>
    </row>
    <row r="176" spans="1:15" x14ac:dyDescent="0.3">
      <c r="A176" s="525"/>
      <c r="B176" s="413" t="s">
        <v>96</v>
      </c>
      <c r="C176" s="526"/>
      <c r="D176" s="526"/>
      <c r="E176" s="526"/>
      <c r="F176" s="526"/>
      <c r="G176" s="526"/>
      <c r="H176" s="444"/>
      <c r="I176" s="444"/>
      <c r="J176" s="444"/>
      <c r="K176" s="439">
        <v>9.4700000000000006E-2</v>
      </c>
      <c r="L176" s="413"/>
      <c r="M176" s="424"/>
      <c r="N176" s="437"/>
      <c r="O176" s="387"/>
    </row>
    <row r="177" spans="1:15" x14ac:dyDescent="0.3">
      <c r="A177" s="525"/>
      <c r="B177" s="413" t="s">
        <v>97</v>
      </c>
      <c r="C177" s="526"/>
      <c r="D177" s="526"/>
      <c r="E177" s="526"/>
      <c r="F177" s="526"/>
      <c r="G177" s="526"/>
      <c r="H177" s="444"/>
      <c r="I177" s="444"/>
      <c r="J177" s="444"/>
      <c r="K177" s="439">
        <f>M36</f>
        <v>1.5235397333004694E-2</v>
      </c>
      <c r="L177" s="413"/>
      <c r="M177" s="424"/>
      <c r="N177" s="437"/>
      <c r="O177" s="387"/>
    </row>
    <row r="178" spans="1:15" x14ac:dyDescent="0.3">
      <c r="A178" s="525"/>
      <c r="B178" s="413" t="s">
        <v>98</v>
      </c>
      <c r="C178" s="526"/>
      <c r="D178" s="526"/>
      <c r="E178" s="526"/>
      <c r="F178" s="526"/>
      <c r="G178" s="526"/>
      <c r="H178" s="444"/>
      <c r="I178" s="444"/>
      <c r="J178" s="444"/>
      <c r="K178" s="439">
        <f>K176-K177</f>
        <v>7.9464602666995315E-2</v>
      </c>
      <c r="L178" s="413"/>
      <c r="M178" s="424"/>
      <c r="N178" s="437"/>
      <c r="O178" s="387"/>
    </row>
    <row r="179" spans="1:15" x14ac:dyDescent="0.3">
      <c r="A179" s="525"/>
      <c r="B179" s="413" t="s">
        <v>211</v>
      </c>
      <c r="C179" s="526"/>
      <c r="D179" s="526"/>
      <c r="E179" s="526"/>
      <c r="F179" s="526"/>
      <c r="G179" s="526"/>
      <c r="H179" s="444"/>
      <c r="I179" s="444"/>
      <c r="J179" s="444"/>
      <c r="K179" s="439">
        <f>(+M87+M89)/E58</f>
        <v>2.7394933514510337E-2</v>
      </c>
      <c r="L179" s="413"/>
      <c r="M179" s="424"/>
      <c r="N179" s="437"/>
      <c r="O179" s="387"/>
    </row>
    <row r="180" spans="1:15" x14ac:dyDescent="0.3">
      <c r="A180" s="525"/>
      <c r="B180" s="413" t="s">
        <v>99</v>
      </c>
      <c r="C180" s="526"/>
      <c r="D180" s="526"/>
      <c r="E180" s="526"/>
      <c r="F180" s="526"/>
      <c r="G180" s="526"/>
      <c r="H180" s="444"/>
      <c r="I180" s="444"/>
      <c r="J180" s="444"/>
      <c r="K180" s="527">
        <v>49628</v>
      </c>
      <c r="L180" s="413"/>
      <c r="M180" s="424"/>
      <c r="N180" s="437"/>
      <c r="O180" s="387"/>
    </row>
    <row r="181" spans="1:15" x14ac:dyDescent="0.3">
      <c r="A181" s="525"/>
      <c r="B181" s="413" t="s">
        <v>100</v>
      </c>
      <c r="C181" s="526"/>
      <c r="D181" s="526"/>
      <c r="E181" s="526"/>
      <c r="F181" s="526"/>
      <c r="G181" s="526"/>
      <c r="H181" s="444"/>
      <c r="I181" s="444"/>
      <c r="J181" s="444"/>
      <c r="K181" s="527">
        <v>49628</v>
      </c>
      <c r="L181" s="413"/>
      <c r="M181" s="424"/>
      <c r="N181" s="437"/>
      <c r="O181" s="387"/>
    </row>
    <row r="182" spans="1:15" x14ac:dyDescent="0.3">
      <c r="A182" s="525"/>
      <c r="B182" s="413" t="s">
        <v>165</v>
      </c>
      <c r="C182" s="526"/>
      <c r="D182" s="526"/>
      <c r="E182" s="526"/>
      <c r="F182" s="526"/>
      <c r="G182" s="526"/>
      <c r="H182" s="444"/>
      <c r="I182" s="444"/>
      <c r="J182" s="444"/>
      <c r="K182" s="527">
        <v>49628</v>
      </c>
      <c r="L182" s="413"/>
      <c r="M182" s="424"/>
      <c r="N182" s="437"/>
      <c r="O182" s="387"/>
    </row>
    <row r="183" spans="1:15" x14ac:dyDescent="0.3">
      <c r="A183" s="525"/>
      <c r="B183" s="413" t="s">
        <v>101</v>
      </c>
      <c r="C183" s="526"/>
      <c r="D183" s="526"/>
      <c r="E183" s="526"/>
      <c r="F183" s="526"/>
      <c r="G183" s="526"/>
      <c r="H183" s="444"/>
      <c r="I183" s="444"/>
      <c r="J183" s="444"/>
      <c r="K183" s="443">
        <v>15.78</v>
      </c>
      <c r="L183" s="413" t="s">
        <v>139</v>
      </c>
      <c r="M183" s="424"/>
      <c r="N183" s="437"/>
      <c r="O183" s="387"/>
    </row>
    <row r="184" spans="1:15" x14ac:dyDescent="0.3">
      <c r="A184" s="525"/>
      <c r="B184" s="413" t="s">
        <v>102</v>
      </c>
      <c r="C184" s="526"/>
      <c r="D184" s="526"/>
      <c r="E184" s="526"/>
      <c r="F184" s="526"/>
      <c r="G184" s="526"/>
      <c r="H184" s="444"/>
      <c r="I184" s="444"/>
      <c r="J184" s="444"/>
      <c r="K184" s="443">
        <v>9.99</v>
      </c>
      <c r="L184" s="413" t="s">
        <v>139</v>
      </c>
      <c r="M184" s="424"/>
      <c r="N184" s="437"/>
      <c r="O184" s="387"/>
    </row>
    <row r="185" spans="1:15" x14ac:dyDescent="0.3">
      <c r="A185" s="525"/>
      <c r="B185" s="413" t="s">
        <v>103</v>
      </c>
      <c r="C185" s="526"/>
      <c r="D185" s="526"/>
      <c r="E185" s="526"/>
      <c r="F185" s="526"/>
      <c r="G185" s="526"/>
      <c r="H185" s="444"/>
      <c r="I185" s="444"/>
      <c r="J185" s="444"/>
      <c r="K185" s="439">
        <f>K80/E58</f>
        <v>6.976123459186645E-2</v>
      </c>
      <c r="L185" s="413"/>
      <c r="M185" s="424"/>
      <c r="N185" s="437"/>
      <c r="O185" s="387"/>
    </row>
    <row r="186" spans="1:15" x14ac:dyDescent="0.3">
      <c r="A186" s="525"/>
      <c r="B186" s="413" t="s">
        <v>104</v>
      </c>
      <c r="C186" s="526"/>
      <c r="D186" s="526"/>
      <c r="E186" s="526"/>
      <c r="F186" s="526"/>
      <c r="G186" s="526"/>
      <c r="H186" s="444"/>
      <c r="I186" s="444"/>
      <c r="J186" s="444"/>
      <c r="K186" s="439">
        <v>0.22359999999999999</v>
      </c>
      <c r="L186" s="413"/>
      <c r="M186" s="424"/>
      <c r="N186" s="437"/>
      <c r="O186" s="387"/>
    </row>
    <row r="187" spans="1:15" x14ac:dyDescent="0.3">
      <c r="A187" s="521"/>
      <c r="B187" s="475"/>
      <c r="C187" s="475"/>
      <c r="D187" s="475"/>
      <c r="E187" s="475"/>
      <c r="F187" s="475"/>
      <c r="G187" s="475"/>
      <c r="H187" s="475"/>
      <c r="I187" s="475"/>
      <c r="J187" s="475"/>
      <c r="K187" s="528"/>
      <c r="L187" s="475"/>
      <c r="M187" s="529"/>
      <c r="N187" s="594"/>
      <c r="O187" s="387"/>
    </row>
    <row r="188" spans="1:15" x14ac:dyDescent="0.3">
      <c r="A188" s="530"/>
      <c r="B188" s="583" t="s">
        <v>105</v>
      </c>
      <c r="C188" s="584"/>
      <c r="D188" s="584"/>
      <c r="E188" s="585"/>
      <c r="F188" s="584"/>
      <c r="G188" s="585"/>
      <c r="H188" s="584"/>
      <c r="I188" s="585"/>
      <c r="J188" s="584" t="s">
        <v>128</v>
      </c>
      <c r="K188" s="585" t="s">
        <v>135</v>
      </c>
      <c r="L188" s="576"/>
      <c r="M188" s="576"/>
      <c r="N188" s="579"/>
      <c r="O188" s="387"/>
    </row>
    <row r="189" spans="1:15" x14ac:dyDescent="0.3">
      <c r="A189" s="548"/>
      <c r="B189" s="473" t="s">
        <v>106</v>
      </c>
      <c r="C189" s="474"/>
      <c r="D189" s="474"/>
      <c r="E189" s="474"/>
      <c r="F189" s="474"/>
      <c r="G189" s="473"/>
      <c r="H189" s="473"/>
      <c r="I189" s="473"/>
      <c r="J189" s="580">
        <v>258</v>
      </c>
      <c r="K189" s="581">
        <v>5166</v>
      </c>
      <c r="L189" s="475"/>
      <c r="M189" s="582"/>
      <c r="N189" s="598"/>
      <c r="O189" s="387"/>
    </row>
    <row r="190" spans="1:15" x14ac:dyDescent="0.3">
      <c r="A190" s="531"/>
      <c r="B190" s="413" t="s">
        <v>196</v>
      </c>
      <c r="C190" s="466"/>
      <c r="D190" s="466"/>
      <c r="E190" s="466"/>
      <c r="F190" s="466"/>
      <c r="G190" s="413"/>
      <c r="H190" s="413"/>
      <c r="I190" s="413"/>
      <c r="J190" s="423">
        <v>0</v>
      </c>
      <c r="K190" s="603">
        <v>0</v>
      </c>
      <c r="L190" s="424"/>
      <c r="M190" s="533"/>
      <c r="N190" s="534"/>
      <c r="O190" s="387"/>
    </row>
    <row r="191" spans="1:15" x14ac:dyDescent="0.3">
      <c r="A191" s="531"/>
      <c r="B191" s="431" t="s">
        <v>107</v>
      </c>
      <c r="C191" s="535"/>
      <c r="D191" s="535"/>
      <c r="E191" s="535"/>
      <c r="F191" s="535"/>
      <c r="G191" s="416"/>
      <c r="H191" s="416"/>
      <c r="I191" s="416"/>
      <c r="J191" s="416"/>
      <c r="K191" s="532">
        <v>0</v>
      </c>
      <c r="L191" s="416"/>
      <c r="M191" s="536"/>
      <c r="N191" s="537"/>
      <c r="O191" s="387"/>
    </row>
    <row r="192" spans="1:15" x14ac:dyDescent="0.3">
      <c r="A192" s="531"/>
      <c r="B192" s="431" t="s">
        <v>240</v>
      </c>
      <c r="C192" s="535"/>
      <c r="D192" s="535"/>
      <c r="E192" s="535"/>
      <c r="F192" s="535"/>
      <c r="G192" s="416"/>
      <c r="H192" s="416"/>
      <c r="I192" s="416"/>
      <c r="J192" s="416"/>
      <c r="K192" s="532">
        <f>+I58</f>
        <v>0</v>
      </c>
      <c r="L192" s="416"/>
      <c r="M192" s="536"/>
      <c r="N192" s="537"/>
      <c r="O192" s="387"/>
    </row>
    <row r="193" spans="1:15" x14ac:dyDescent="0.3">
      <c r="A193" s="538"/>
      <c r="B193" s="431" t="s">
        <v>109</v>
      </c>
      <c r="C193" s="535"/>
      <c r="D193" s="535"/>
      <c r="E193" s="539"/>
      <c r="F193" s="539"/>
      <c r="G193" s="539"/>
      <c r="H193" s="416"/>
      <c r="I193" s="416"/>
      <c r="J193" s="416"/>
      <c r="K193" s="540"/>
      <c r="L193" s="416"/>
      <c r="M193" s="536"/>
      <c r="N193" s="541"/>
      <c r="O193" s="387"/>
    </row>
    <row r="194" spans="1:15" x14ac:dyDescent="0.3">
      <c r="A194" s="538"/>
      <c r="B194" s="413" t="s">
        <v>110</v>
      </c>
      <c r="C194" s="466"/>
      <c r="D194" s="466"/>
      <c r="E194" s="413"/>
      <c r="F194" s="413"/>
      <c r="G194" s="413"/>
      <c r="H194" s="413"/>
      <c r="I194" s="413"/>
      <c r="J194" s="413"/>
      <c r="K194" s="532">
        <f>+M141</f>
        <v>-49</v>
      </c>
      <c r="L194" s="424"/>
      <c r="M194" s="536"/>
      <c r="N194" s="541"/>
      <c r="O194" s="387"/>
    </row>
    <row r="195" spans="1:15" x14ac:dyDescent="0.3">
      <c r="A195" s="531"/>
      <c r="B195" s="413" t="s">
        <v>111</v>
      </c>
      <c r="C195" s="466"/>
      <c r="D195" s="466"/>
      <c r="E195" s="466"/>
      <c r="F195" s="466"/>
      <c r="G195" s="466"/>
      <c r="H195" s="413"/>
      <c r="I195" s="413"/>
      <c r="J195" s="413"/>
      <c r="K195" s="532">
        <f>'Oct 17'!K195+'Jan 18'!K194</f>
        <v>36798</v>
      </c>
      <c r="L195" s="424"/>
      <c r="M195" s="536"/>
      <c r="N195" s="541"/>
      <c r="O195" s="387"/>
    </row>
    <row r="196" spans="1:15" x14ac:dyDescent="0.3">
      <c r="A196" s="531"/>
      <c r="B196" s="413" t="s">
        <v>112</v>
      </c>
      <c r="C196" s="466"/>
      <c r="D196" s="466"/>
      <c r="E196" s="466"/>
      <c r="F196" s="466"/>
      <c r="G196" s="466"/>
      <c r="H196" s="413"/>
      <c r="I196" s="413"/>
      <c r="J196" s="413"/>
      <c r="K196" s="532">
        <f>'Oct 17'!K196+514</f>
        <v>18574</v>
      </c>
      <c r="L196" s="424"/>
      <c r="M196" s="536"/>
      <c r="N196" s="541"/>
      <c r="O196" s="387"/>
    </row>
    <row r="197" spans="1:15" x14ac:dyDescent="0.3">
      <c r="A197" s="538"/>
      <c r="B197" s="431" t="s">
        <v>241</v>
      </c>
      <c r="C197" s="535"/>
      <c r="D197" s="535"/>
      <c r="E197" s="539"/>
      <c r="F197" s="539"/>
      <c r="G197" s="539"/>
      <c r="H197" s="416"/>
      <c r="I197" s="416"/>
      <c r="J197" s="416"/>
      <c r="K197" s="540"/>
      <c r="L197" s="416"/>
      <c r="M197" s="536"/>
      <c r="N197" s="541"/>
      <c r="O197" s="387"/>
    </row>
    <row r="198" spans="1:15" x14ac:dyDescent="0.3">
      <c r="A198" s="538"/>
      <c r="B198" s="413" t="s">
        <v>236</v>
      </c>
      <c r="C198" s="466"/>
      <c r="D198" s="466"/>
      <c r="E198" s="413"/>
      <c r="F198" s="413"/>
      <c r="G198" s="413"/>
      <c r="H198" s="413"/>
      <c r="I198" s="413"/>
      <c r="J198" s="413"/>
      <c r="K198" s="603">
        <v>0</v>
      </c>
      <c r="L198" s="424"/>
      <c r="M198" s="533"/>
      <c r="N198" s="541"/>
      <c r="O198" s="387"/>
    </row>
    <row r="199" spans="1:15" x14ac:dyDescent="0.3">
      <c r="A199" s="531"/>
      <c r="B199" s="413" t="s">
        <v>113</v>
      </c>
      <c r="C199" s="466"/>
      <c r="D199" s="466"/>
      <c r="E199" s="441"/>
      <c r="F199" s="441"/>
      <c r="G199" s="542"/>
      <c r="H199" s="413"/>
      <c r="I199" s="413"/>
      <c r="J199" s="413"/>
      <c r="K199" s="604">
        <v>0</v>
      </c>
      <c r="L199" s="424"/>
      <c r="M199" s="533"/>
      <c r="N199" s="541"/>
      <c r="O199" s="387"/>
    </row>
    <row r="200" spans="1:15" x14ac:dyDescent="0.3">
      <c r="A200" s="531"/>
      <c r="B200" s="413" t="s">
        <v>114</v>
      </c>
      <c r="C200" s="466"/>
      <c r="D200" s="466"/>
      <c r="E200" s="441"/>
      <c r="F200" s="441"/>
      <c r="G200" s="542"/>
      <c r="H200" s="413"/>
      <c r="I200" s="413"/>
      <c r="J200" s="413"/>
      <c r="K200" s="604">
        <v>0</v>
      </c>
      <c r="L200" s="424"/>
      <c r="M200" s="533"/>
      <c r="N200" s="541"/>
      <c r="O200" s="387"/>
    </row>
    <row r="201" spans="1:15" x14ac:dyDescent="0.3">
      <c r="A201" s="531"/>
      <c r="B201" s="539"/>
      <c r="C201" s="535"/>
      <c r="D201" s="535"/>
      <c r="E201" s="543"/>
      <c r="F201" s="544"/>
      <c r="G201" s="545"/>
      <c r="H201" s="416"/>
      <c r="I201" s="416"/>
      <c r="J201" s="416"/>
      <c r="K201" s="546"/>
      <c r="L201" s="416"/>
      <c r="M201" s="536"/>
      <c r="N201" s="541"/>
      <c r="O201" s="387"/>
    </row>
    <row r="202" spans="1:15" ht="18" x14ac:dyDescent="0.35">
      <c r="A202" s="531"/>
      <c r="B202" s="547" t="s">
        <v>200</v>
      </c>
      <c r="C202" s="535"/>
      <c r="D202" s="535"/>
      <c r="E202" s="543"/>
      <c r="F202" s="544"/>
      <c r="G202" s="545"/>
      <c r="H202" s="416"/>
      <c r="I202" s="416"/>
      <c r="J202" s="416"/>
      <c r="K202" s="569" t="s">
        <v>286</v>
      </c>
      <c r="L202" s="416"/>
      <c r="M202" s="536"/>
      <c r="N202" s="541"/>
      <c r="O202" s="387"/>
    </row>
    <row r="203" spans="1:15" x14ac:dyDescent="0.3">
      <c r="A203" s="548"/>
      <c r="B203" s="549"/>
      <c r="C203" s="469"/>
      <c r="D203" s="469"/>
      <c r="E203" s="550"/>
      <c r="F203" s="551"/>
      <c r="G203" s="552"/>
      <c r="H203" s="448"/>
      <c r="I203" s="448"/>
      <c r="J203" s="448"/>
      <c r="K203" s="553"/>
      <c r="L203" s="448"/>
      <c r="M203" s="554"/>
      <c r="N203" s="599"/>
      <c r="O203" s="387"/>
    </row>
    <row r="204" spans="1:15" x14ac:dyDescent="0.3">
      <c r="A204" s="410"/>
      <c r="B204" s="583" t="s">
        <v>115</v>
      </c>
      <c r="C204" s="584"/>
      <c r="D204" s="584"/>
      <c r="E204" s="585"/>
      <c r="F204" s="584"/>
      <c r="G204" s="585"/>
      <c r="H204" s="584"/>
      <c r="I204" s="585" t="s">
        <v>128</v>
      </c>
      <c r="J204" s="584" t="s">
        <v>129</v>
      </c>
      <c r="K204" s="585" t="s">
        <v>137</v>
      </c>
      <c r="L204" s="584" t="s">
        <v>129</v>
      </c>
      <c r="M204" s="576"/>
      <c r="N204" s="589"/>
      <c r="O204" s="387"/>
    </row>
    <row r="205" spans="1:15" x14ac:dyDescent="0.3">
      <c r="A205" s="561"/>
      <c r="B205" s="474" t="s">
        <v>116</v>
      </c>
      <c r="C205" s="586"/>
      <c r="D205" s="586"/>
      <c r="E205" s="474"/>
      <c r="F205" s="586"/>
      <c r="G205" s="473"/>
      <c r="H205" s="586"/>
      <c r="I205" s="474">
        <v>1852</v>
      </c>
      <c r="J205" s="587">
        <f>I205/I213</f>
        <v>0.87772511848341228</v>
      </c>
      <c r="K205" s="563">
        <v>33220</v>
      </c>
      <c r="L205" s="587">
        <f>K205/K213</f>
        <v>0.86541968425988647</v>
      </c>
      <c r="M205" s="588"/>
      <c r="N205" s="600"/>
      <c r="O205" s="387"/>
    </row>
    <row r="206" spans="1:15" x14ac:dyDescent="0.3">
      <c r="A206" s="555"/>
      <c r="B206" s="466" t="s">
        <v>117</v>
      </c>
      <c r="C206" s="556"/>
      <c r="D206" s="556"/>
      <c r="E206" s="466"/>
      <c r="F206" s="556"/>
      <c r="G206" s="413"/>
      <c r="H206" s="557"/>
      <c r="I206" s="466">
        <v>63</v>
      </c>
      <c r="J206" s="557">
        <f>I206/I213</f>
        <v>2.985781990521327E-2</v>
      </c>
      <c r="K206" s="467">
        <v>1182</v>
      </c>
      <c r="L206" s="557">
        <f>K206/K213</f>
        <v>3.079247642369614E-2</v>
      </c>
      <c r="M206" s="558"/>
      <c r="N206" s="534"/>
      <c r="O206" s="387"/>
    </row>
    <row r="207" spans="1:15" x14ac:dyDescent="0.3">
      <c r="A207" s="555"/>
      <c r="B207" s="466" t="s">
        <v>118</v>
      </c>
      <c r="C207" s="556"/>
      <c r="D207" s="556"/>
      <c r="E207" s="466"/>
      <c r="F207" s="556"/>
      <c r="G207" s="466"/>
      <c r="H207" s="557"/>
      <c r="I207" s="466">
        <v>28</v>
      </c>
      <c r="J207" s="557">
        <f>I207/I213</f>
        <v>1.3270142180094787E-2</v>
      </c>
      <c r="K207" s="467">
        <v>469</v>
      </c>
      <c r="L207" s="557">
        <f>K207/K213</f>
        <v>1.2217996144427656E-2</v>
      </c>
      <c r="M207" s="559"/>
      <c r="N207" s="534"/>
      <c r="O207" s="387"/>
    </row>
    <row r="208" spans="1:15" x14ac:dyDescent="0.3">
      <c r="A208" s="555"/>
      <c r="B208" s="466" t="s">
        <v>167</v>
      </c>
      <c r="C208" s="556"/>
      <c r="D208" s="556"/>
      <c r="E208" s="466"/>
      <c r="F208" s="556"/>
      <c r="G208" s="466"/>
      <c r="H208" s="557"/>
      <c r="I208" s="466">
        <v>24</v>
      </c>
      <c r="J208" s="557">
        <f>I208/I213</f>
        <v>1.1374407582938388E-2</v>
      </c>
      <c r="K208" s="467">
        <v>489</v>
      </c>
      <c r="L208" s="557">
        <f>K208/K213</f>
        <v>1.2739019434168707E-2</v>
      </c>
      <c r="M208" s="559"/>
      <c r="N208" s="534"/>
      <c r="O208" s="387"/>
    </row>
    <row r="209" spans="1:15" x14ac:dyDescent="0.3">
      <c r="A209" s="555"/>
      <c r="B209" s="466" t="s">
        <v>168</v>
      </c>
      <c r="C209" s="556"/>
      <c r="D209" s="556"/>
      <c r="E209" s="466"/>
      <c r="F209" s="556"/>
      <c r="G209" s="413"/>
      <c r="H209" s="557"/>
      <c r="I209" s="466">
        <v>24</v>
      </c>
      <c r="J209" s="557">
        <f>I209/I213</f>
        <v>1.1374407582938388E-2</v>
      </c>
      <c r="K209" s="467">
        <v>523</v>
      </c>
      <c r="L209" s="557">
        <f>K209/K213</f>
        <v>1.3624759026728495E-2</v>
      </c>
      <c r="M209" s="559"/>
      <c r="N209" s="534"/>
      <c r="O209" s="387"/>
    </row>
    <row r="210" spans="1:15" x14ac:dyDescent="0.3">
      <c r="A210" s="555"/>
      <c r="B210" s="466" t="s">
        <v>169</v>
      </c>
      <c r="C210" s="556"/>
      <c r="D210" s="556"/>
      <c r="E210" s="466"/>
      <c r="F210" s="556"/>
      <c r="G210" s="413"/>
      <c r="H210" s="557"/>
      <c r="I210" s="466">
        <v>20</v>
      </c>
      <c r="J210" s="557">
        <f>I210/I213</f>
        <v>9.4786729857819912E-3</v>
      </c>
      <c r="K210" s="467">
        <v>401</v>
      </c>
      <c r="L210" s="557">
        <f>K210/K213</f>
        <v>1.044651695930808E-2</v>
      </c>
      <c r="M210" s="559"/>
      <c r="N210" s="560"/>
      <c r="O210" s="387"/>
    </row>
    <row r="211" spans="1:15" x14ac:dyDescent="0.3">
      <c r="A211" s="555"/>
      <c r="B211" s="466" t="s">
        <v>176</v>
      </c>
      <c r="C211" s="556"/>
      <c r="D211" s="556"/>
      <c r="E211" s="466"/>
      <c r="F211" s="556"/>
      <c r="G211" s="413"/>
      <c r="H211" s="557"/>
      <c r="I211" s="466">
        <v>53</v>
      </c>
      <c r="J211" s="557">
        <f>I211/I213</f>
        <v>2.5118483412322274E-2</v>
      </c>
      <c r="K211" s="467">
        <v>1187</v>
      </c>
      <c r="L211" s="557">
        <f>K211/K213</f>
        <v>3.0922732246131401E-2</v>
      </c>
      <c r="M211" s="558"/>
      <c r="N211" s="534"/>
      <c r="O211" s="387"/>
    </row>
    <row r="212" spans="1:15" x14ac:dyDescent="0.3">
      <c r="A212" s="555"/>
      <c r="B212" s="466" t="s">
        <v>202</v>
      </c>
      <c r="C212" s="556"/>
      <c r="D212" s="556"/>
      <c r="E212" s="466"/>
      <c r="F212" s="556"/>
      <c r="G212" s="413"/>
      <c r="H212" s="557"/>
      <c r="I212" s="466">
        <v>46</v>
      </c>
      <c r="J212" s="557">
        <f>+I212/I213</f>
        <v>2.1800947867298578E-2</v>
      </c>
      <c r="K212" s="467">
        <v>915</v>
      </c>
      <c r="L212" s="557">
        <f>+K212/K213</f>
        <v>2.3836815505653104E-2</v>
      </c>
      <c r="M212" s="558"/>
      <c r="N212" s="534"/>
      <c r="O212" s="387"/>
    </row>
    <row r="213" spans="1:15" x14ac:dyDescent="0.3">
      <c r="A213" s="555"/>
      <c r="B213" s="413" t="s">
        <v>189</v>
      </c>
      <c r="C213" s="413"/>
      <c r="D213" s="413"/>
      <c r="E213" s="413"/>
      <c r="F213" s="413"/>
      <c r="G213" s="466"/>
      <c r="H213" s="413"/>
      <c r="I213" s="466">
        <f>SUM(I205:I212)</f>
        <v>2110</v>
      </c>
      <c r="J213" s="557">
        <f>SUM(J205:J212)</f>
        <v>1</v>
      </c>
      <c r="K213" s="467">
        <f>SUM(K205:K212)</f>
        <v>38386</v>
      </c>
      <c r="L213" s="557">
        <f>SUM(L205:L212)</f>
        <v>1</v>
      </c>
      <c r="M213" s="413"/>
      <c r="N213" s="437"/>
      <c r="O213" s="387"/>
    </row>
    <row r="214" spans="1:15" x14ac:dyDescent="0.3">
      <c r="A214" s="555"/>
      <c r="B214" s="466" t="s">
        <v>170</v>
      </c>
      <c r="C214" s="556"/>
      <c r="D214" s="556"/>
      <c r="E214" s="466"/>
      <c r="F214" s="556"/>
      <c r="G214" s="466"/>
      <c r="H214" s="557"/>
      <c r="I214" s="466">
        <v>262</v>
      </c>
      <c r="J214" s="557"/>
      <c r="K214" s="467">
        <v>6872</v>
      </c>
      <c r="L214" s="557"/>
      <c r="M214" s="413"/>
      <c r="N214" s="437"/>
      <c r="O214" s="387"/>
    </row>
    <row r="215" spans="1:15" x14ac:dyDescent="0.3">
      <c r="A215" s="555"/>
      <c r="B215" s="413"/>
      <c r="C215" s="413"/>
      <c r="D215" s="413"/>
      <c r="E215" s="413"/>
      <c r="F215" s="413"/>
      <c r="G215" s="413"/>
      <c r="H215" s="466"/>
      <c r="I215" s="466"/>
      <c r="J215" s="557"/>
      <c r="K215" s="467"/>
      <c r="L215" s="557"/>
      <c r="M215" s="413"/>
      <c r="N215" s="437"/>
      <c r="O215" s="387"/>
    </row>
    <row r="216" spans="1:15" x14ac:dyDescent="0.3">
      <c r="A216" s="555"/>
      <c r="B216" s="413" t="s">
        <v>232</v>
      </c>
      <c r="C216" s="413"/>
      <c r="D216" s="413"/>
      <c r="E216" s="413"/>
      <c r="F216" s="413"/>
      <c r="G216" s="413"/>
      <c r="H216" s="413"/>
      <c r="I216" s="466"/>
      <c r="J216" s="602">
        <v>1.0979681225829361</v>
      </c>
      <c r="K216" s="467"/>
      <c r="L216" s="557"/>
      <c r="M216" s="413"/>
      <c r="N216" s="437"/>
      <c r="O216" s="387"/>
    </row>
    <row r="217" spans="1:15" x14ac:dyDescent="0.3">
      <c r="A217" s="561"/>
      <c r="B217" s="473"/>
      <c r="C217" s="473"/>
      <c r="D217" s="473"/>
      <c r="E217" s="473"/>
      <c r="F217" s="473"/>
      <c r="G217" s="473"/>
      <c r="H217" s="473"/>
      <c r="I217" s="474"/>
      <c r="J217" s="562"/>
      <c r="K217" s="563"/>
      <c r="L217" s="562"/>
      <c r="M217" s="473"/>
      <c r="N217" s="594"/>
      <c r="O217" s="387"/>
    </row>
    <row r="218" spans="1:15" x14ac:dyDescent="0.3">
      <c r="A218" s="561"/>
      <c r="B218" s="400" t="s">
        <v>215</v>
      </c>
      <c r="C218" s="401"/>
      <c r="D218" s="401"/>
      <c r="E218" s="401"/>
      <c r="F218" s="404" t="s">
        <v>216</v>
      </c>
      <c r="G218" s="401"/>
      <c r="H218" s="400" t="s">
        <v>217</v>
      </c>
      <c r="I218" s="564"/>
      <c r="J218" s="401"/>
      <c r="K218" s="564"/>
      <c r="L218" s="401"/>
      <c r="M218" s="401"/>
      <c r="N218" s="594"/>
      <c r="O218" s="387"/>
    </row>
    <row r="219" spans="1:15" x14ac:dyDescent="0.3">
      <c r="A219" s="561"/>
      <c r="B219" s="401"/>
      <c r="C219" s="401"/>
      <c r="D219" s="401"/>
      <c r="E219" s="401"/>
      <c r="F219" s="401"/>
      <c r="G219" s="401"/>
      <c r="H219" s="401"/>
      <c r="I219" s="401"/>
      <c r="J219" s="401"/>
      <c r="K219" s="401"/>
      <c r="L219" s="401"/>
      <c r="M219" s="401"/>
      <c r="N219" s="594"/>
      <c r="O219" s="387"/>
    </row>
    <row r="220" spans="1:15" x14ac:dyDescent="0.3">
      <c r="A220" s="561"/>
      <c r="B220" s="400" t="s">
        <v>262</v>
      </c>
      <c r="C220" s="400"/>
      <c r="D220" s="400"/>
      <c r="E220" s="400"/>
      <c r="F220" s="565" t="s">
        <v>222</v>
      </c>
      <c r="G220" s="400"/>
      <c r="H220" s="566" t="s">
        <v>287</v>
      </c>
      <c r="I220" s="401"/>
      <c r="J220" s="401"/>
      <c r="K220" s="401"/>
      <c r="L220" s="401"/>
      <c r="M220" s="401"/>
      <c r="N220" s="594"/>
      <c r="O220" s="387"/>
    </row>
    <row r="221" spans="1:15" x14ac:dyDescent="0.3">
      <c r="A221" s="561"/>
      <c r="B221" s="400" t="s">
        <v>263</v>
      </c>
      <c r="C221" s="400"/>
      <c r="D221" s="400"/>
      <c r="E221" s="400"/>
      <c r="F221" s="565" t="s">
        <v>225</v>
      </c>
      <c r="G221" s="400"/>
      <c r="H221" s="566" t="s">
        <v>288</v>
      </c>
      <c r="I221" s="401"/>
      <c r="J221" s="401"/>
      <c r="K221" s="401"/>
      <c r="L221" s="401"/>
      <c r="M221" s="401"/>
      <c r="N221" s="594"/>
      <c r="O221" s="387"/>
    </row>
    <row r="222" spans="1:15" x14ac:dyDescent="0.3">
      <c r="A222" s="561"/>
      <c r="B222" s="400"/>
      <c r="C222" s="400"/>
      <c r="D222" s="400"/>
      <c r="E222" s="404"/>
      <c r="F222" s="400"/>
      <c r="G222" s="400"/>
      <c r="H222" s="400"/>
      <c r="I222" s="400"/>
      <c r="J222" s="401"/>
      <c r="K222" s="401"/>
      <c r="L222" s="401"/>
      <c r="M222" s="401"/>
      <c r="N222" s="594"/>
      <c r="O222" s="387"/>
    </row>
    <row r="223" spans="1:15" ht="18.600000000000001" thickBot="1" x14ac:dyDescent="0.4">
      <c r="A223" s="561"/>
      <c r="B223" s="567" t="str">
        <f>B170</f>
        <v>PSF1 INVESTOR REPORT QUARTER ENDING JANUARY 2018</v>
      </c>
      <c r="C223" s="400"/>
      <c r="D223" s="400"/>
      <c r="E223" s="404"/>
      <c r="F223" s="400"/>
      <c r="G223" s="400"/>
      <c r="H223" s="400"/>
      <c r="I223" s="400"/>
      <c r="J223" s="401"/>
      <c r="K223" s="401"/>
      <c r="L223" s="401"/>
      <c r="M223" s="401"/>
      <c r="N223" s="601"/>
      <c r="O223" s="387"/>
    </row>
    <row r="224" spans="1:15" x14ac:dyDescent="0.3">
      <c r="A224" s="568"/>
      <c r="B224" s="568"/>
      <c r="C224" s="568"/>
      <c r="D224" s="568"/>
      <c r="E224" s="568"/>
      <c r="F224" s="568"/>
      <c r="G224" s="568"/>
      <c r="H224" s="568"/>
      <c r="I224" s="568"/>
      <c r="J224" s="568"/>
      <c r="K224" s="568"/>
      <c r="L224" s="568"/>
      <c r="M224" s="568"/>
      <c r="N224" s="568"/>
    </row>
    <row r="226" spans="9:9" x14ac:dyDescent="0.3">
      <c r="I226" s="472"/>
    </row>
  </sheetData>
  <hyperlinks>
    <hyperlink ref="I10" r:id="rId1" xr:uid="{00000000-0004-0000-3300-000000000000}"/>
    <hyperlink ref="K202" r:id="rId2" xr:uid="{00000000-0004-0000-33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4" max="14" man="1"/>
    <brk id="170" max="14" man="1"/>
  </rowBreaks>
  <colBreaks count="1" manualBreakCount="1">
    <brk id="14" max="224" man="1"/>
  </colBreaks>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89CB31"/>
  </sheetPr>
  <dimension ref="A1:P226"/>
  <sheetViews>
    <sheetView showOutlineSymbols="0" zoomScale="70" zoomScaleNormal="70" workbookViewId="0"/>
  </sheetViews>
  <sheetFormatPr defaultColWidth="9.81640625" defaultRowHeight="15.6" x14ac:dyDescent="0.3"/>
  <cols>
    <col min="1" max="1" width="4.81640625" style="388" customWidth="1"/>
    <col min="2" max="2" width="64.81640625" style="388" customWidth="1"/>
    <col min="3" max="3" width="15.453125" style="388" customWidth="1"/>
    <col min="4" max="4" width="10.81640625" style="388" customWidth="1"/>
    <col min="5" max="5" width="13.81640625" style="388" customWidth="1"/>
    <col min="6" max="6" width="8.08984375" style="388" customWidth="1"/>
    <col min="7" max="7" width="15.81640625" style="388" customWidth="1"/>
    <col min="8" max="8" width="8.1796875" style="388" customWidth="1"/>
    <col min="9" max="9" width="19.453125" style="388" customWidth="1"/>
    <col min="10" max="10" width="9.81640625" style="388" customWidth="1"/>
    <col min="11" max="11" width="18.81640625" style="388" customWidth="1"/>
    <col min="12" max="12" width="7.453125" style="388" customWidth="1"/>
    <col min="13" max="13" width="14.81640625" style="388" customWidth="1"/>
    <col min="14" max="14" width="23.453125" style="388" customWidth="1"/>
    <col min="15" max="16384" width="9.81640625" style="388"/>
  </cols>
  <sheetData>
    <row r="1" spans="1:15" ht="21" x14ac:dyDescent="0.4">
      <c r="A1" s="383"/>
      <c r="B1" s="384" t="s">
        <v>148</v>
      </c>
      <c r="C1" s="385"/>
      <c r="D1" s="385"/>
      <c r="E1" s="386"/>
      <c r="F1" s="386"/>
      <c r="G1" s="386"/>
      <c r="H1" s="386"/>
      <c r="I1" s="386"/>
      <c r="J1" s="386"/>
      <c r="K1" s="386"/>
      <c r="L1" s="386"/>
      <c r="M1" s="386"/>
      <c r="N1" s="590"/>
      <c r="O1" s="387"/>
    </row>
    <row r="2" spans="1:15" x14ac:dyDescent="0.3">
      <c r="A2" s="389"/>
      <c r="B2" s="390"/>
      <c r="C2" s="390"/>
      <c r="D2" s="390"/>
      <c r="E2" s="391"/>
      <c r="F2" s="391"/>
      <c r="G2" s="391"/>
      <c r="H2" s="391"/>
      <c r="I2" s="391"/>
      <c r="J2" s="391"/>
      <c r="K2" s="391"/>
      <c r="L2" s="391"/>
      <c r="M2" s="391"/>
      <c r="N2" s="591"/>
      <c r="O2" s="387"/>
    </row>
    <row r="3" spans="1:15" x14ac:dyDescent="0.3">
      <c r="A3" s="392"/>
      <c r="B3" s="393" t="s">
        <v>149</v>
      </c>
      <c r="C3" s="391"/>
      <c r="D3" s="391"/>
      <c r="E3" s="391"/>
      <c r="F3" s="391"/>
      <c r="G3" s="391"/>
      <c r="H3" s="391"/>
      <c r="I3" s="391"/>
      <c r="J3" s="391"/>
      <c r="K3" s="391"/>
      <c r="L3" s="391"/>
      <c r="M3" s="391"/>
      <c r="N3" s="591"/>
      <c r="O3" s="387"/>
    </row>
    <row r="4" spans="1:15" x14ac:dyDescent="0.3">
      <c r="A4" s="389"/>
      <c r="B4" s="390"/>
      <c r="C4" s="390"/>
      <c r="D4" s="390"/>
      <c r="E4" s="391"/>
      <c r="F4" s="391"/>
      <c r="G4" s="391"/>
      <c r="H4" s="391"/>
      <c r="I4" s="391"/>
      <c r="J4" s="391"/>
      <c r="K4" s="391"/>
      <c r="L4" s="391"/>
      <c r="M4" s="391"/>
      <c r="N4" s="591"/>
      <c r="O4" s="387"/>
    </row>
    <row r="5" spans="1:15" x14ac:dyDescent="0.3">
      <c r="A5" s="389"/>
      <c r="B5" s="394" t="s">
        <v>0</v>
      </c>
      <c r="C5" s="395"/>
      <c r="D5" s="395"/>
      <c r="E5" s="391"/>
      <c r="F5" s="391"/>
      <c r="G5" s="391"/>
      <c r="H5" s="391"/>
      <c r="I5" s="391"/>
      <c r="J5" s="391"/>
      <c r="K5" s="391"/>
      <c r="L5" s="391"/>
      <c r="M5" s="391"/>
      <c r="N5" s="591"/>
      <c r="O5" s="387"/>
    </row>
    <row r="6" spans="1:15" x14ac:dyDescent="0.3">
      <c r="A6" s="389"/>
      <c r="B6" s="394" t="s">
        <v>1</v>
      </c>
      <c r="C6" s="395"/>
      <c r="D6" s="395"/>
      <c r="E6" s="391"/>
      <c r="F6" s="391"/>
      <c r="G6" s="391"/>
      <c r="H6" s="391"/>
      <c r="I6" s="391"/>
      <c r="J6" s="391"/>
      <c r="K6" s="391"/>
      <c r="L6" s="391"/>
      <c r="M6" s="391"/>
      <c r="N6" s="591"/>
      <c r="O6" s="387"/>
    </row>
    <row r="7" spans="1:15" x14ac:dyDescent="0.3">
      <c r="A7" s="389"/>
      <c r="B7" s="394" t="s">
        <v>2</v>
      </c>
      <c r="C7" s="395"/>
      <c r="D7" s="395"/>
      <c r="E7" s="391"/>
      <c r="F7" s="391"/>
      <c r="G7" s="391"/>
      <c r="H7" s="391"/>
      <c r="I7" s="391"/>
      <c r="J7" s="391"/>
      <c r="K7" s="391"/>
      <c r="L7" s="391"/>
      <c r="M7" s="391"/>
      <c r="N7" s="591"/>
      <c r="O7" s="387"/>
    </row>
    <row r="8" spans="1:15" x14ac:dyDescent="0.3">
      <c r="A8" s="389"/>
      <c r="B8" s="394" t="s">
        <v>3</v>
      </c>
      <c r="C8" s="395"/>
      <c r="D8" s="395"/>
      <c r="E8" s="391"/>
      <c r="F8" s="391"/>
      <c r="G8" s="391"/>
      <c r="H8" s="391"/>
      <c r="I8" s="391"/>
      <c r="J8" s="391"/>
      <c r="K8" s="391"/>
      <c r="L8" s="391"/>
      <c r="M8" s="391"/>
      <c r="N8" s="591"/>
      <c r="O8" s="387"/>
    </row>
    <row r="9" spans="1:15" x14ac:dyDescent="0.3">
      <c r="A9" s="389"/>
      <c r="B9" s="391"/>
      <c r="C9" s="395"/>
      <c r="D9" s="395"/>
      <c r="E9" s="391"/>
      <c r="F9" s="391"/>
      <c r="G9" s="391"/>
      <c r="H9" s="391"/>
      <c r="I9" s="391"/>
      <c r="J9" s="391"/>
      <c r="K9" s="391"/>
      <c r="L9" s="391"/>
      <c r="M9" s="391"/>
      <c r="N9" s="591"/>
      <c r="O9" s="387"/>
    </row>
    <row r="10" spans="1:15" ht="18" x14ac:dyDescent="0.35">
      <c r="A10" s="389"/>
      <c r="B10" s="396" t="s">
        <v>198</v>
      </c>
      <c r="C10" s="395"/>
      <c r="D10" s="395"/>
      <c r="E10" s="391"/>
      <c r="F10" s="391"/>
      <c r="G10" s="391"/>
      <c r="H10" s="391"/>
      <c r="I10" s="397" t="s">
        <v>286</v>
      </c>
      <c r="J10" s="391"/>
      <c r="K10" s="391"/>
      <c r="L10" s="391"/>
      <c r="M10" s="391"/>
      <c r="N10" s="591"/>
      <c r="O10" s="387"/>
    </row>
    <row r="11" spans="1:15" x14ac:dyDescent="0.3">
      <c r="A11" s="389"/>
      <c r="B11" s="398"/>
      <c r="C11" s="395"/>
      <c r="D11" s="395"/>
      <c r="E11" s="399"/>
      <c r="F11" s="399"/>
      <c r="G11" s="391"/>
      <c r="H11" s="391"/>
      <c r="I11" s="391"/>
      <c r="J11" s="391"/>
      <c r="K11" s="391"/>
      <c r="L11" s="391"/>
      <c r="M11" s="391"/>
      <c r="N11" s="591"/>
      <c r="O11" s="387"/>
    </row>
    <row r="12" spans="1:15" x14ac:dyDescent="0.3">
      <c r="A12" s="389"/>
      <c r="B12" s="400" t="s">
        <v>4</v>
      </c>
      <c r="C12" s="400"/>
      <c r="D12" s="400"/>
      <c r="E12" s="401"/>
      <c r="F12" s="401"/>
      <c r="G12" s="401"/>
      <c r="H12" s="401"/>
      <c r="I12" s="401"/>
      <c r="J12" s="401"/>
      <c r="K12" s="401"/>
      <c r="L12" s="401"/>
      <c r="M12" s="401"/>
      <c r="N12" s="591"/>
      <c r="O12" s="387"/>
    </row>
    <row r="13" spans="1:15" ht="16.2" thickBot="1" x14ac:dyDescent="0.35">
      <c r="A13" s="389"/>
      <c r="B13" s="400"/>
      <c r="C13" s="400"/>
      <c r="D13" s="400"/>
      <c r="E13" s="401"/>
      <c r="F13" s="401"/>
      <c r="G13" s="401"/>
      <c r="H13" s="401"/>
      <c r="I13" s="401"/>
      <c r="J13" s="401"/>
      <c r="K13" s="401"/>
      <c r="L13" s="401"/>
      <c r="M13" s="401"/>
      <c r="N13" s="591"/>
      <c r="O13" s="387"/>
    </row>
    <row r="14" spans="1:15" x14ac:dyDescent="0.3">
      <c r="A14" s="383"/>
      <c r="B14" s="402"/>
      <c r="C14" s="402"/>
      <c r="D14" s="402"/>
      <c r="E14" s="402"/>
      <c r="F14" s="402"/>
      <c r="G14" s="402"/>
      <c r="H14" s="402"/>
      <c r="I14" s="402"/>
      <c r="J14" s="402"/>
      <c r="K14" s="402"/>
      <c r="L14" s="402"/>
      <c r="M14" s="402"/>
      <c r="N14" s="590"/>
      <c r="O14" s="387"/>
    </row>
    <row r="15" spans="1:15" x14ac:dyDescent="0.3">
      <c r="A15" s="389"/>
      <c r="B15" s="400" t="s">
        <v>5</v>
      </c>
      <c r="C15" s="400"/>
      <c r="D15" s="400"/>
      <c r="E15" s="401"/>
      <c r="F15" s="401"/>
      <c r="G15" s="401"/>
      <c r="H15" s="401"/>
      <c r="I15" s="401"/>
      <c r="J15" s="401"/>
      <c r="K15" s="401"/>
      <c r="L15" s="401"/>
      <c r="M15" s="403" t="s">
        <v>151</v>
      </c>
      <c r="N15" s="592"/>
      <c r="O15" s="387"/>
    </row>
    <row r="16" spans="1:15" x14ac:dyDescent="0.3">
      <c r="A16" s="389"/>
      <c r="B16" s="400" t="s">
        <v>6</v>
      </c>
      <c r="C16" s="400"/>
      <c r="D16" s="400"/>
      <c r="E16" s="401"/>
      <c r="F16" s="401"/>
      <c r="G16" s="401"/>
      <c r="H16" s="401"/>
      <c r="I16" s="404"/>
      <c r="J16" s="405"/>
      <c r="K16" s="404" t="s">
        <v>150</v>
      </c>
      <c r="L16" s="405">
        <v>1</v>
      </c>
      <c r="M16" s="403"/>
      <c r="N16" s="592"/>
      <c r="O16" s="387"/>
    </row>
    <row r="17" spans="1:15" x14ac:dyDescent="0.3">
      <c r="A17" s="389"/>
      <c r="B17" s="400" t="s">
        <v>7</v>
      </c>
      <c r="C17" s="400"/>
      <c r="D17" s="400"/>
      <c r="E17" s="401"/>
      <c r="F17" s="401"/>
      <c r="G17" s="401"/>
      <c r="H17" s="401"/>
      <c r="I17" s="404"/>
      <c r="J17" s="405"/>
      <c r="K17" s="404" t="s">
        <v>150</v>
      </c>
      <c r="L17" s="405">
        <v>1</v>
      </c>
      <c r="M17" s="403"/>
      <c r="N17" s="592"/>
      <c r="O17" s="387"/>
    </row>
    <row r="18" spans="1:15" x14ac:dyDescent="0.3">
      <c r="A18" s="389"/>
      <c r="B18" s="400" t="s">
        <v>8</v>
      </c>
      <c r="C18" s="400"/>
      <c r="D18" s="400"/>
      <c r="E18" s="401"/>
      <c r="F18" s="401"/>
      <c r="G18" s="401"/>
      <c r="H18" s="401"/>
      <c r="I18" s="401"/>
      <c r="J18" s="401"/>
      <c r="K18" s="401"/>
      <c r="L18" s="401"/>
      <c r="M18" s="406">
        <v>38336</v>
      </c>
      <c r="N18" s="592"/>
      <c r="O18" s="387"/>
    </row>
    <row r="19" spans="1:15" x14ac:dyDescent="0.3">
      <c r="A19" s="389"/>
      <c r="B19" s="400" t="s">
        <v>9</v>
      </c>
      <c r="C19" s="400"/>
      <c r="D19" s="400"/>
      <c r="E19" s="401"/>
      <c r="F19" s="401"/>
      <c r="G19" s="401"/>
      <c r="H19" s="401"/>
      <c r="I19" s="401"/>
      <c r="J19" s="401"/>
      <c r="K19" s="401"/>
      <c r="L19" s="401"/>
      <c r="M19" s="406">
        <v>43238</v>
      </c>
      <c r="N19" s="592"/>
      <c r="O19" s="387"/>
    </row>
    <row r="20" spans="1:15" x14ac:dyDescent="0.3">
      <c r="A20" s="389"/>
      <c r="B20" s="401"/>
      <c r="C20" s="401"/>
      <c r="D20" s="401"/>
      <c r="E20" s="401"/>
      <c r="F20" s="401"/>
      <c r="G20" s="401"/>
      <c r="H20" s="401"/>
      <c r="I20" s="401"/>
      <c r="J20" s="401"/>
      <c r="K20" s="401"/>
      <c r="L20" s="401"/>
      <c r="M20" s="407"/>
      <c r="N20" s="591"/>
      <c r="O20" s="387"/>
    </row>
    <row r="21" spans="1:15" x14ac:dyDescent="0.3">
      <c r="A21" s="389"/>
      <c r="B21" s="408" t="s">
        <v>10</v>
      </c>
      <c r="C21" s="401"/>
      <c r="D21" s="401"/>
      <c r="E21" s="401"/>
      <c r="F21" s="401"/>
      <c r="G21" s="401"/>
      <c r="H21" s="401"/>
      <c r="I21" s="401"/>
      <c r="J21" s="401"/>
      <c r="K21" s="407" t="s">
        <v>130</v>
      </c>
      <c r="L21" s="401"/>
      <c r="M21" s="401"/>
      <c r="N21" s="591"/>
      <c r="O21" s="387"/>
    </row>
    <row r="22" spans="1:15" x14ac:dyDescent="0.3">
      <c r="A22" s="389"/>
      <c r="B22" s="391"/>
      <c r="C22" s="391"/>
      <c r="D22" s="391"/>
      <c r="E22" s="391"/>
      <c r="F22" s="391"/>
      <c r="G22" s="391"/>
      <c r="H22" s="391"/>
      <c r="I22" s="391"/>
      <c r="J22" s="391"/>
      <c r="K22" s="391"/>
      <c r="L22" s="391"/>
      <c r="M22" s="409"/>
      <c r="N22" s="591"/>
      <c r="O22" s="387"/>
    </row>
    <row r="23" spans="1:15" x14ac:dyDescent="0.3">
      <c r="A23" s="410"/>
      <c r="B23" s="576"/>
      <c r="C23" s="577" t="s">
        <v>131</v>
      </c>
      <c r="D23" s="577"/>
      <c r="E23" s="577" t="s">
        <v>124</v>
      </c>
      <c r="F23" s="577"/>
      <c r="G23" s="577" t="s">
        <v>152</v>
      </c>
      <c r="H23" s="577"/>
      <c r="I23" s="577"/>
      <c r="J23" s="578"/>
      <c r="K23" s="578"/>
      <c r="L23" s="576"/>
      <c r="M23" s="576"/>
      <c r="N23" s="579"/>
      <c r="O23" s="387"/>
    </row>
    <row r="24" spans="1:15" x14ac:dyDescent="0.3">
      <c r="A24" s="570"/>
      <c r="B24" s="571" t="s">
        <v>156</v>
      </c>
      <c r="C24" s="572" t="s">
        <v>121</v>
      </c>
      <c r="D24" s="572"/>
      <c r="E24" s="572" t="s">
        <v>125</v>
      </c>
      <c r="F24" s="572"/>
      <c r="G24" s="572" t="s">
        <v>158</v>
      </c>
      <c r="H24" s="573"/>
      <c r="I24" s="573"/>
      <c r="J24" s="573"/>
      <c r="K24" s="573"/>
      <c r="L24" s="574"/>
      <c r="M24" s="574"/>
      <c r="N24" s="575"/>
      <c r="O24" s="387"/>
    </row>
    <row r="25" spans="1:15" x14ac:dyDescent="0.3">
      <c r="A25" s="412"/>
      <c r="B25" s="413" t="s">
        <v>11</v>
      </c>
      <c r="C25" s="414" t="s">
        <v>121</v>
      </c>
      <c r="D25" s="414"/>
      <c r="E25" s="414" t="s">
        <v>125</v>
      </c>
      <c r="F25" s="414"/>
      <c r="G25" s="414" t="s">
        <v>158</v>
      </c>
      <c r="H25" s="415"/>
      <c r="I25" s="415"/>
      <c r="J25" s="415"/>
      <c r="K25" s="415"/>
      <c r="L25" s="416"/>
      <c r="M25" s="416"/>
      <c r="N25" s="417"/>
      <c r="O25" s="387"/>
    </row>
    <row r="26" spans="1:15" x14ac:dyDescent="0.3">
      <c r="A26" s="418"/>
      <c r="B26" s="419" t="s">
        <v>157</v>
      </c>
      <c r="C26" s="420" t="s">
        <v>121</v>
      </c>
      <c r="D26" s="420"/>
      <c r="E26" s="420" t="s">
        <v>283</v>
      </c>
      <c r="F26" s="420"/>
      <c r="G26" s="420" t="s">
        <v>278</v>
      </c>
      <c r="H26" s="421"/>
      <c r="I26" s="421"/>
      <c r="J26" s="415"/>
      <c r="K26" s="415"/>
      <c r="L26" s="416"/>
      <c r="M26" s="416"/>
      <c r="N26" s="417"/>
      <c r="O26" s="387"/>
    </row>
    <row r="27" spans="1:15" x14ac:dyDescent="0.3">
      <c r="A27" s="418"/>
      <c r="B27" s="419" t="s">
        <v>12</v>
      </c>
      <c r="C27" s="420" t="s">
        <v>121</v>
      </c>
      <c r="D27" s="420"/>
      <c r="E27" s="420" t="s">
        <v>283</v>
      </c>
      <c r="F27" s="420"/>
      <c r="G27" s="420" t="s">
        <v>284</v>
      </c>
      <c r="H27" s="421"/>
      <c r="I27" s="421"/>
      <c r="J27" s="415"/>
      <c r="K27" s="415"/>
      <c r="L27" s="416"/>
      <c r="M27" s="416"/>
      <c r="N27" s="417"/>
      <c r="O27" s="387"/>
    </row>
    <row r="28" spans="1:15" x14ac:dyDescent="0.3">
      <c r="A28" s="412"/>
      <c r="B28" s="413" t="s">
        <v>13</v>
      </c>
      <c r="C28" s="422" t="s">
        <v>153</v>
      </c>
      <c r="D28" s="414"/>
      <c r="E28" s="422" t="s">
        <v>154</v>
      </c>
      <c r="F28" s="414"/>
      <c r="G28" s="422" t="s">
        <v>155</v>
      </c>
      <c r="H28" s="415"/>
      <c r="I28" s="423"/>
      <c r="J28" s="415"/>
      <c r="K28" s="423"/>
      <c r="L28" s="416"/>
      <c r="M28" s="416"/>
      <c r="N28" s="417"/>
      <c r="O28" s="387"/>
    </row>
    <row r="29" spans="1:15" x14ac:dyDescent="0.3">
      <c r="A29" s="412"/>
      <c r="B29" s="424"/>
      <c r="C29" s="424"/>
      <c r="D29" s="425"/>
      <c r="E29" s="425"/>
      <c r="F29" s="425"/>
      <c r="G29" s="425"/>
      <c r="H29" s="415"/>
      <c r="I29" s="415"/>
      <c r="J29" s="415"/>
      <c r="K29" s="415"/>
      <c r="L29" s="416"/>
      <c r="M29" s="416"/>
      <c r="N29" s="417"/>
      <c r="O29" s="387"/>
    </row>
    <row r="30" spans="1:15" x14ac:dyDescent="0.3">
      <c r="A30" s="412"/>
      <c r="B30" s="413" t="s">
        <v>14</v>
      </c>
      <c r="C30" s="426">
        <v>231000</v>
      </c>
      <c r="D30" s="427"/>
      <c r="E30" s="426">
        <v>42000</v>
      </c>
      <c r="F30" s="426"/>
      <c r="G30" s="426">
        <v>27000</v>
      </c>
      <c r="H30" s="426"/>
      <c r="I30" s="426"/>
      <c r="J30" s="426"/>
      <c r="K30" s="426"/>
      <c r="L30" s="427"/>
      <c r="M30" s="426">
        <f>C30+E30+G30</f>
        <v>300000</v>
      </c>
      <c r="N30" s="428"/>
      <c r="O30" s="387"/>
    </row>
    <row r="31" spans="1:15" x14ac:dyDescent="0.3">
      <c r="A31" s="412"/>
      <c r="B31" s="413" t="s">
        <v>290</v>
      </c>
      <c r="C31" s="426">
        <f>C30*C34</f>
        <v>20690.254199999999</v>
      </c>
      <c r="D31" s="427"/>
      <c r="E31" s="426">
        <f>E30*E34</f>
        <v>10771.3032</v>
      </c>
      <c r="F31" s="426"/>
      <c r="G31" s="426">
        <f>G30*G34</f>
        <v>6924.425400000001</v>
      </c>
      <c r="H31" s="426"/>
      <c r="I31" s="426"/>
      <c r="J31" s="426"/>
      <c r="K31" s="426"/>
      <c r="L31" s="427"/>
      <c r="M31" s="426">
        <f>C31+E31+G31</f>
        <v>38385.982799999998</v>
      </c>
      <c r="N31" s="428"/>
      <c r="O31" s="387"/>
    </row>
    <row r="32" spans="1:15" x14ac:dyDescent="0.3">
      <c r="A32" s="418"/>
      <c r="B32" s="419" t="s">
        <v>291</v>
      </c>
      <c r="C32" s="429">
        <f>C30*C33</f>
        <v>19585.519799999998</v>
      </c>
      <c r="D32" s="430"/>
      <c r="E32" s="429">
        <f>E30*E33</f>
        <v>10196.155199999999</v>
      </c>
      <c r="F32" s="429"/>
      <c r="G32" s="429">
        <f>G30*G33</f>
        <v>6554.6927999999998</v>
      </c>
      <c r="H32" s="429"/>
      <c r="I32" s="429"/>
      <c r="J32" s="429"/>
      <c r="K32" s="429"/>
      <c r="L32" s="430"/>
      <c r="M32" s="426">
        <f>C32+E32+G32</f>
        <v>36336.367799999993</v>
      </c>
      <c r="N32" s="428"/>
      <c r="O32" s="387"/>
    </row>
    <row r="33" spans="1:15" x14ac:dyDescent="0.3">
      <c r="A33" s="418"/>
      <c r="B33" s="431" t="s">
        <v>174</v>
      </c>
      <c r="C33" s="432">
        <v>8.4785799999999995E-2</v>
      </c>
      <c r="D33" s="433"/>
      <c r="E33" s="432">
        <v>0.2427656</v>
      </c>
      <c r="F33" s="432"/>
      <c r="G33" s="432">
        <v>0.24276639999999999</v>
      </c>
      <c r="H33" s="434"/>
      <c r="I33" s="434"/>
      <c r="J33" s="435"/>
      <c r="K33" s="435"/>
      <c r="L33" s="436"/>
      <c r="M33" s="435"/>
      <c r="N33" s="428"/>
      <c r="O33" s="387"/>
    </row>
    <row r="34" spans="1:15" x14ac:dyDescent="0.3">
      <c r="A34" s="418"/>
      <c r="B34" s="431" t="s">
        <v>175</v>
      </c>
      <c r="C34" s="432">
        <v>8.9568200000000001E-2</v>
      </c>
      <c r="D34" s="433"/>
      <c r="E34" s="432">
        <v>0.25645960000000001</v>
      </c>
      <c r="F34" s="432"/>
      <c r="G34" s="432">
        <v>0.25646020000000003</v>
      </c>
      <c r="H34" s="434"/>
      <c r="I34" s="434"/>
      <c r="J34" s="435"/>
      <c r="K34" s="435"/>
      <c r="L34" s="436"/>
      <c r="M34" s="435"/>
      <c r="N34" s="428"/>
      <c r="O34" s="387"/>
    </row>
    <row r="35" spans="1:15" x14ac:dyDescent="0.3">
      <c r="A35" s="412"/>
      <c r="B35" s="413" t="s">
        <v>17</v>
      </c>
      <c r="C35" s="422" t="s">
        <v>164</v>
      </c>
      <c r="D35" s="413"/>
      <c r="E35" s="422" t="s">
        <v>163</v>
      </c>
      <c r="F35" s="422"/>
      <c r="G35" s="422" t="s">
        <v>162</v>
      </c>
      <c r="H35" s="422"/>
      <c r="I35" s="422"/>
      <c r="J35" s="422"/>
      <c r="K35" s="422"/>
      <c r="L35" s="413"/>
      <c r="M35" s="413"/>
      <c r="N35" s="437"/>
      <c r="O35" s="387"/>
    </row>
    <row r="36" spans="1:15" x14ac:dyDescent="0.3">
      <c r="A36" s="412"/>
      <c r="B36" s="413" t="s">
        <v>18</v>
      </c>
      <c r="C36" s="438">
        <v>9.4663000000000004E-3</v>
      </c>
      <c r="D36" s="413"/>
      <c r="E36" s="438">
        <v>2.04663E-2</v>
      </c>
      <c r="F36" s="439"/>
      <c r="G36" s="438">
        <v>2.5466300000000001E-2</v>
      </c>
      <c r="H36" s="439"/>
      <c r="I36" s="438"/>
      <c r="J36" s="439"/>
      <c r="K36" s="438"/>
      <c r="L36" s="413"/>
      <c r="M36" s="439">
        <f>SUMPRODUCT(C36:G36,C31:G31)/M31</f>
        <v>1.54391871029453E-2</v>
      </c>
      <c r="N36" s="437"/>
      <c r="O36" s="387"/>
    </row>
    <row r="37" spans="1:15" x14ac:dyDescent="0.3">
      <c r="A37" s="412"/>
      <c r="B37" s="413" t="s">
        <v>19</v>
      </c>
      <c r="C37" s="438">
        <v>9.2624999999999999E-3</v>
      </c>
      <c r="D37" s="413"/>
      <c r="E37" s="438">
        <v>2.0262499999999999E-2</v>
      </c>
      <c r="F37" s="439"/>
      <c r="G37" s="438">
        <v>2.52625E-2</v>
      </c>
      <c r="H37" s="439"/>
      <c r="I37" s="438"/>
      <c r="J37" s="439"/>
      <c r="K37" s="438"/>
      <c r="L37" s="413"/>
      <c r="M37" s="413"/>
      <c r="N37" s="437"/>
      <c r="O37" s="387"/>
    </row>
    <row r="38" spans="1:15" x14ac:dyDescent="0.3">
      <c r="A38" s="412"/>
      <c r="B38" s="413" t="s">
        <v>20</v>
      </c>
      <c r="C38" s="440">
        <v>39767</v>
      </c>
      <c r="D38" s="440"/>
      <c r="E38" s="440">
        <v>39767</v>
      </c>
      <c r="F38" s="440"/>
      <c r="G38" s="440">
        <v>39767</v>
      </c>
      <c r="H38" s="440"/>
      <c r="I38" s="440"/>
      <c r="J38" s="422"/>
      <c r="K38" s="422"/>
      <c r="L38" s="413"/>
      <c r="M38" s="413"/>
      <c r="N38" s="437"/>
      <c r="O38" s="387"/>
    </row>
    <row r="39" spans="1:15" x14ac:dyDescent="0.3">
      <c r="A39" s="412"/>
      <c r="B39" s="413" t="s">
        <v>21</v>
      </c>
      <c r="C39" s="440">
        <v>40132</v>
      </c>
      <c r="D39" s="440"/>
      <c r="E39" s="440">
        <v>40132</v>
      </c>
      <c r="F39" s="440"/>
      <c r="G39" s="440">
        <v>40132</v>
      </c>
      <c r="H39" s="440"/>
      <c r="I39" s="440"/>
      <c r="J39" s="422"/>
      <c r="K39" s="422"/>
      <c r="L39" s="413"/>
      <c r="M39" s="413"/>
      <c r="N39" s="437"/>
      <c r="O39" s="387"/>
    </row>
    <row r="40" spans="1:15" x14ac:dyDescent="0.3">
      <c r="A40" s="412"/>
      <c r="B40" s="413" t="s">
        <v>22</v>
      </c>
      <c r="C40" s="422" t="s">
        <v>164</v>
      </c>
      <c r="D40" s="413"/>
      <c r="E40" s="422" t="s">
        <v>163</v>
      </c>
      <c r="F40" s="422"/>
      <c r="G40" s="422" t="s">
        <v>162</v>
      </c>
      <c r="H40" s="422"/>
      <c r="I40" s="422"/>
      <c r="J40" s="422"/>
      <c r="K40" s="422"/>
      <c r="L40" s="413"/>
      <c r="M40" s="413"/>
      <c r="N40" s="437"/>
      <c r="O40" s="387"/>
    </row>
    <row r="41" spans="1:15" x14ac:dyDescent="0.3">
      <c r="A41" s="412"/>
      <c r="B41" s="413"/>
      <c r="C41" s="413"/>
      <c r="D41" s="413"/>
      <c r="E41" s="438"/>
      <c r="F41" s="413"/>
      <c r="G41" s="438"/>
      <c r="H41" s="422"/>
      <c r="I41" s="422"/>
      <c r="J41" s="441"/>
      <c r="K41" s="441"/>
      <c r="L41" s="441"/>
      <c r="M41" s="441"/>
      <c r="N41" s="437"/>
      <c r="O41" s="387"/>
    </row>
    <row r="42" spans="1:15" x14ac:dyDescent="0.3">
      <c r="A42" s="412"/>
      <c r="B42" s="413" t="s">
        <v>178</v>
      </c>
      <c r="C42" s="413"/>
      <c r="D42" s="413"/>
      <c r="E42" s="442"/>
      <c r="F42" s="413"/>
      <c r="G42" s="442"/>
      <c r="H42" s="413"/>
      <c r="I42" s="442"/>
      <c r="J42" s="413"/>
      <c r="K42" s="413"/>
      <c r="L42" s="413"/>
      <c r="M42" s="439">
        <f>(E30+G30)/C30</f>
        <v>0.29870129870129869</v>
      </c>
      <c r="N42" s="437"/>
      <c r="O42" s="387"/>
    </row>
    <row r="43" spans="1:15" x14ac:dyDescent="0.3">
      <c r="A43" s="412"/>
      <c r="B43" s="413" t="s">
        <v>179</v>
      </c>
      <c r="C43" s="413"/>
      <c r="D43" s="413"/>
      <c r="E43" s="442"/>
      <c r="F43" s="413"/>
      <c r="G43" s="442"/>
      <c r="H43" s="413"/>
      <c r="I43" s="442"/>
      <c r="J43" s="413"/>
      <c r="K43" s="413"/>
      <c r="L43" s="413"/>
      <c r="M43" s="439">
        <f>(G32+E32)/C32</f>
        <v>0.85526696105354327</v>
      </c>
      <c r="N43" s="437"/>
      <c r="O43" s="387"/>
    </row>
    <row r="44" spans="1:15" x14ac:dyDescent="0.3">
      <c r="A44" s="412"/>
      <c r="B44" s="413" t="s">
        <v>23</v>
      </c>
      <c r="C44" s="413"/>
      <c r="D44" s="413"/>
      <c r="E44" s="413"/>
      <c r="F44" s="413"/>
      <c r="G44" s="413"/>
      <c r="H44" s="413"/>
      <c r="I44" s="413"/>
      <c r="J44" s="413"/>
      <c r="K44" s="422" t="s">
        <v>131</v>
      </c>
      <c r="L44" s="422" t="s">
        <v>138</v>
      </c>
      <c r="M44" s="426">
        <f>+M30/2-E30-G30</f>
        <v>81000</v>
      </c>
      <c r="N44" s="437"/>
      <c r="O44" s="387"/>
    </row>
    <row r="45" spans="1:15" x14ac:dyDescent="0.3">
      <c r="A45" s="412"/>
      <c r="B45" s="413"/>
      <c r="C45" s="413"/>
      <c r="D45" s="413"/>
      <c r="E45" s="413"/>
      <c r="F45" s="413"/>
      <c r="G45" s="413"/>
      <c r="H45" s="413"/>
      <c r="I45" s="413"/>
      <c r="J45" s="413"/>
      <c r="K45" s="413" t="s">
        <v>235</v>
      </c>
      <c r="L45" s="413"/>
      <c r="M45" s="443"/>
      <c r="N45" s="437"/>
      <c r="O45" s="387"/>
    </row>
    <row r="46" spans="1:15" x14ac:dyDescent="0.3">
      <c r="A46" s="412"/>
      <c r="B46" s="413" t="s">
        <v>24</v>
      </c>
      <c r="C46" s="413"/>
      <c r="D46" s="413"/>
      <c r="E46" s="413"/>
      <c r="F46" s="413"/>
      <c r="G46" s="413"/>
      <c r="H46" s="413"/>
      <c r="I46" s="413"/>
      <c r="J46" s="413"/>
      <c r="K46" s="422"/>
      <c r="L46" s="422"/>
      <c r="M46" s="422" t="s">
        <v>140</v>
      </c>
      <c r="N46" s="437"/>
      <c r="O46" s="387"/>
    </row>
    <row r="47" spans="1:15" x14ac:dyDescent="0.3">
      <c r="A47" s="412"/>
      <c r="B47" s="419" t="s">
        <v>25</v>
      </c>
      <c r="C47" s="419"/>
      <c r="D47" s="419"/>
      <c r="E47" s="419"/>
      <c r="F47" s="419"/>
      <c r="G47" s="419"/>
      <c r="H47" s="419"/>
      <c r="I47" s="419"/>
      <c r="J47" s="419"/>
      <c r="K47" s="444"/>
      <c r="L47" s="444"/>
      <c r="M47" s="445">
        <v>43235</v>
      </c>
      <c r="N47" s="437"/>
      <c r="O47" s="387"/>
    </row>
    <row r="48" spans="1:15" x14ac:dyDescent="0.3">
      <c r="A48" s="412"/>
      <c r="B48" s="413" t="s">
        <v>26</v>
      </c>
      <c r="C48" s="413"/>
      <c r="D48" s="413"/>
      <c r="E48" s="413"/>
      <c r="F48" s="413"/>
      <c r="G48" s="413"/>
      <c r="H48" s="413"/>
      <c r="I48" s="413"/>
      <c r="J48" s="413">
        <f>M48-K48+1</f>
        <v>92</v>
      </c>
      <c r="K48" s="446">
        <v>43054</v>
      </c>
      <c r="L48" s="447"/>
      <c r="M48" s="446">
        <v>43145</v>
      </c>
      <c r="N48" s="437"/>
      <c r="O48" s="387"/>
    </row>
    <row r="49" spans="1:15" x14ac:dyDescent="0.3">
      <c r="A49" s="412"/>
      <c r="B49" s="413" t="s">
        <v>27</v>
      </c>
      <c r="C49" s="413"/>
      <c r="D49" s="413"/>
      <c r="E49" s="413"/>
      <c r="F49" s="413"/>
      <c r="G49" s="413"/>
      <c r="H49" s="413"/>
      <c r="I49" s="413"/>
      <c r="J49" s="413">
        <f>M49-K49+1</f>
        <v>89</v>
      </c>
      <c r="K49" s="446">
        <v>43146</v>
      </c>
      <c r="L49" s="447"/>
      <c r="M49" s="446">
        <v>43234</v>
      </c>
      <c r="N49" s="437"/>
      <c r="O49" s="387"/>
    </row>
    <row r="50" spans="1:15" x14ac:dyDescent="0.3">
      <c r="A50" s="412"/>
      <c r="B50" s="413" t="s">
        <v>28</v>
      </c>
      <c r="C50" s="413"/>
      <c r="D50" s="413"/>
      <c r="E50" s="413"/>
      <c r="F50" s="413"/>
      <c r="G50" s="413"/>
      <c r="H50" s="413"/>
      <c r="I50" s="413"/>
      <c r="J50" s="413"/>
      <c r="K50" s="446"/>
      <c r="L50" s="447"/>
      <c r="M50" s="446" t="s">
        <v>141</v>
      </c>
      <c r="N50" s="437"/>
      <c r="O50" s="387"/>
    </row>
    <row r="51" spans="1:15" x14ac:dyDescent="0.3">
      <c r="A51" s="412"/>
      <c r="B51" s="413" t="s">
        <v>29</v>
      </c>
      <c r="C51" s="413"/>
      <c r="D51" s="413"/>
      <c r="E51" s="413"/>
      <c r="F51" s="413"/>
      <c r="G51" s="413"/>
      <c r="H51" s="413"/>
      <c r="I51" s="413"/>
      <c r="J51" s="413"/>
      <c r="K51" s="446"/>
      <c r="L51" s="447"/>
      <c r="M51" s="446">
        <v>43221</v>
      </c>
      <c r="N51" s="437"/>
      <c r="O51" s="387"/>
    </row>
    <row r="52" spans="1:15" x14ac:dyDescent="0.3">
      <c r="A52" s="389"/>
      <c r="B52" s="448"/>
      <c r="C52" s="448"/>
      <c r="D52" s="448"/>
      <c r="E52" s="448"/>
      <c r="F52" s="448"/>
      <c r="G52" s="448"/>
      <c r="H52" s="448"/>
      <c r="I52" s="448"/>
      <c r="J52" s="448"/>
      <c r="K52" s="449"/>
      <c r="L52" s="450"/>
      <c r="M52" s="449"/>
      <c r="N52" s="591"/>
      <c r="O52" s="387"/>
    </row>
    <row r="53" spans="1:15" x14ac:dyDescent="0.3">
      <c r="A53" s="389"/>
      <c r="B53" s="391"/>
      <c r="C53" s="391"/>
      <c r="D53" s="391"/>
      <c r="E53" s="391"/>
      <c r="F53" s="391"/>
      <c r="G53" s="391"/>
      <c r="H53" s="391"/>
      <c r="I53" s="391"/>
      <c r="J53" s="391"/>
      <c r="K53" s="451"/>
      <c r="L53" s="452"/>
      <c r="M53" s="451"/>
      <c r="N53" s="591"/>
      <c r="O53" s="387"/>
    </row>
    <row r="54" spans="1:15" ht="18.600000000000001" thickBot="1" x14ac:dyDescent="0.4">
      <c r="A54" s="453"/>
      <c r="B54" s="454" t="s">
        <v>293</v>
      </c>
      <c r="C54" s="455"/>
      <c r="D54" s="455"/>
      <c r="E54" s="455"/>
      <c r="F54" s="455"/>
      <c r="G54" s="455"/>
      <c r="H54" s="455"/>
      <c r="I54" s="455"/>
      <c r="J54" s="455"/>
      <c r="K54" s="455"/>
      <c r="L54" s="455"/>
      <c r="M54" s="456"/>
      <c r="N54" s="457"/>
      <c r="O54" s="387"/>
    </row>
    <row r="55" spans="1:15" x14ac:dyDescent="0.3">
      <c r="A55" s="410"/>
      <c r="B55" s="458" t="s">
        <v>30</v>
      </c>
      <c r="C55" s="459"/>
      <c r="D55" s="459"/>
      <c r="E55" s="411"/>
      <c r="F55" s="411"/>
      <c r="G55" s="411"/>
      <c r="H55" s="411"/>
      <c r="I55" s="411"/>
      <c r="J55" s="411"/>
      <c r="K55" s="411"/>
      <c r="L55" s="411"/>
      <c r="M55" s="460"/>
      <c r="N55" s="579"/>
      <c r="O55" s="387"/>
    </row>
    <row r="56" spans="1:15" x14ac:dyDescent="0.3">
      <c r="A56" s="389"/>
      <c r="B56" s="399"/>
      <c r="C56" s="399"/>
      <c r="D56" s="399"/>
      <c r="E56" s="391"/>
      <c r="F56" s="391"/>
      <c r="G56" s="391"/>
      <c r="H56" s="391"/>
      <c r="I56" s="391"/>
      <c r="J56" s="391"/>
      <c r="K56" s="391"/>
      <c r="L56" s="391"/>
      <c r="M56" s="461"/>
      <c r="N56" s="591"/>
      <c r="O56" s="387"/>
    </row>
    <row r="57" spans="1:15" ht="46.8" x14ac:dyDescent="0.3">
      <c r="A57" s="389"/>
      <c r="B57" s="462" t="s">
        <v>31</v>
      </c>
      <c r="C57" s="463" t="s">
        <v>119</v>
      </c>
      <c r="D57" s="463"/>
      <c r="E57" s="463" t="s">
        <v>122</v>
      </c>
      <c r="F57" s="463"/>
      <c r="G57" s="463" t="s">
        <v>123</v>
      </c>
      <c r="H57" s="463"/>
      <c r="I57" s="463" t="s">
        <v>126</v>
      </c>
      <c r="J57" s="463"/>
      <c r="K57" s="463" t="s">
        <v>132</v>
      </c>
      <c r="L57" s="463"/>
      <c r="M57" s="464" t="s">
        <v>142</v>
      </c>
      <c r="N57" s="593"/>
      <c r="O57" s="387"/>
    </row>
    <row r="58" spans="1:15" x14ac:dyDescent="0.3">
      <c r="A58" s="412"/>
      <c r="B58" s="413" t="s">
        <v>32</v>
      </c>
      <c r="C58" s="466">
        <f>240614-323</f>
        <v>240291</v>
      </c>
      <c r="D58" s="466"/>
      <c r="E58" s="467">
        <v>38386</v>
      </c>
      <c r="F58" s="466"/>
      <c r="G58" s="466">
        <v>2050</v>
      </c>
      <c r="H58" s="466"/>
      <c r="I58" s="466">
        <v>0</v>
      </c>
      <c r="J58" s="466"/>
      <c r="K58" s="466">
        <v>0</v>
      </c>
      <c r="L58" s="466"/>
      <c r="M58" s="467">
        <f>E58-G58+I58-K58</f>
        <v>36336</v>
      </c>
      <c r="N58" s="417"/>
      <c r="O58" s="387"/>
    </row>
    <row r="59" spans="1:15" x14ac:dyDescent="0.3">
      <c r="A59" s="412"/>
      <c r="B59" s="413" t="s">
        <v>33</v>
      </c>
      <c r="C59" s="466">
        <f>748-206</f>
        <v>542</v>
      </c>
      <c r="D59" s="466"/>
      <c r="E59" s="467">
        <v>0</v>
      </c>
      <c r="F59" s="466"/>
      <c r="G59" s="466">
        <v>0</v>
      </c>
      <c r="H59" s="466"/>
      <c r="I59" s="466">
        <v>0</v>
      </c>
      <c r="J59" s="466"/>
      <c r="K59" s="466">
        <v>0</v>
      </c>
      <c r="L59" s="466"/>
      <c r="M59" s="467">
        <f>E59-G59+I59-K59</f>
        <v>0</v>
      </c>
      <c r="N59" s="417"/>
      <c r="O59" s="387"/>
    </row>
    <row r="60" spans="1:15" x14ac:dyDescent="0.3">
      <c r="A60" s="412"/>
      <c r="B60" s="413"/>
      <c r="C60" s="466"/>
      <c r="D60" s="466"/>
      <c r="E60" s="467"/>
      <c r="F60" s="466"/>
      <c r="G60" s="466">
        <v>0</v>
      </c>
      <c r="H60" s="466"/>
      <c r="I60" s="466">
        <v>0</v>
      </c>
      <c r="J60" s="466"/>
      <c r="K60" s="466">
        <v>0</v>
      </c>
      <c r="L60" s="466"/>
      <c r="M60" s="467">
        <f>E60-G60+I60-K60</f>
        <v>0</v>
      </c>
      <c r="N60" s="417"/>
      <c r="O60" s="387"/>
    </row>
    <row r="61" spans="1:15" x14ac:dyDescent="0.3">
      <c r="A61" s="412"/>
      <c r="B61" s="413"/>
      <c r="C61" s="466"/>
      <c r="D61" s="466"/>
      <c r="E61" s="467"/>
      <c r="F61" s="466"/>
      <c r="G61" s="466"/>
      <c r="H61" s="466"/>
      <c r="I61" s="466"/>
      <c r="J61" s="466"/>
      <c r="K61" s="466"/>
      <c r="L61" s="466"/>
      <c r="M61" s="467"/>
      <c r="N61" s="417"/>
      <c r="O61" s="387"/>
    </row>
    <row r="62" spans="1:15" x14ac:dyDescent="0.3">
      <c r="A62" s="412"/>
      <c r="B62" s="413" t="s">
        <v>34</v>
      </c>
      <c r="C62" s="466">
        <f>SUM(C58:C61)</f>
        <v>240833</v>
      </c>
      <c r="D62" s="466"/>
      <c r="E62" s="466">
        <f>E58+E59+E60</f>
        <v>38386</v>
      </c>
      <c r="F62" s="466"/>
      <c r="G62" s="466">
        <f>SUM(G58:G61)</f>
        <v>2050</v>
      </c>
      <c r="H62" s="466"/>
      <c r="I62" s="466">
        <f>SUM(I58:I61)</f>
        <v>0</v>
      </c>
      <c r="J62" s="466"/>
      <c r="K62" s="466">
        <f>SUM(K58:K61)</f>
        <v>0</v>
      </c>
      <c r="L62" s="466"/>
      <c r="M62" s="466">
        <f>SUM(M58:M61)</f>
        <v>36336</v>
      </c>
      <c r="N62" s="417"/>
      <c r="O62" s="387"/>
    </row>
    <row r="63" spans="1:15" x14ac:dyDescent="0.3">
      <c r="A63" s="389"/>
      <c r="B63" s="448"/>
      <c r="C63" s="468"/>
      <c r="D63" s="468"/>
      <c r="E63" s="468"/>
      <c r="F63" s="468"/>
      <c r="G63" s="468"/>
      <c r="H63" s="468"/>
      <c r="I63" s="468"/>
      <c r="J63" s="468"/>
      <c r="K63" s="468"/>
      <c r="L63" s="468"/>
      <c r="M63" s="469"/>
      <c r="N63" s="591"/>
      <c r="O63" s="387"/>
    </row>
    <row r="64" spans="1:15" x14ac:dyDescent="0.3">
      <c r="A64" s="389"/>
      <c r="B64" s="393" t="s">
        <v>35</v>
      </c>
      <c r="C64" s="470"/>
      <c r="D64" s="470"/>
      <c r="E64" s="470"/>
      <c r="F64" s="470"/>
      <c r="G64" s="470"/>
      <c r="H64" s="470"/>
      <c r="I64" s="470"/>
      <c r="J64" s="470"/>
      <c r="K64" s="470"/>
      <c r="L64" s="470"/>
      <c r="M64" s="471"/>
      <c r="N64" s="591"/>
      <c r="O64" s="387"/>
    </row>
    <row r="65" spans="1:16" x14ac:dyDescent="0.3">
      <c r="A65" s="389"/>
      <c r="B65" s="391"/>
      <c r="C65" s="470"/>
      <c r="D65" s="470"/>
      <c r="E65" s="470"/>
      <c r="F65" s="470"/>
      <c r="G65" s="470"/>
      <c r="H65" s="470"/>
      <c r="I65" s="470"/>
      <c r="J65" s="470"/>
      <c r="K65" s="470"/>
      <c r="L65" s="470"/>
      <c r="M65" s="471"/>
      <c r="N65" s="591"/>
      <c r="O65" s="387"/>
    </row>
    <row r="66" spans="1:16" x14ac:dyDescent="0.3">
      <c r="A66" s="412"/>
      <c r="B66" s="413" t="s">
        <v>32</v>
      </c>
      <c r="C66" s="466"/>
      <c r="D66" s="466"/>
      <c r="E66" s="466"/>
      <c r="F66" s="466"/>
      <c r="G66" s="466"/>
      <c r="H66" s="466"/>
      <c r="I66" s="466"/>
      <c r="J66" s="466"/>
      <c r="K66" s="466"/>
      <c r="L66" s="466"/>
      <c r="M66" s="466"/>
      <c r="N66" s="437"/>
      <c r="O66" s="387"/>
    </row>
    <row r="67" spans="1:16" x14ac:dyDescent="0.3">
      <c r="A67" s="412"/>
      <c r="B67" s="413" t="s">
        <v>33</v>
      </c>
      <c r="C67" s="466"/>
      <c r="D67" s="466"/>
      <c r="E67" s="466"/>
      <c r="F67" s="466"/>
      <c r="G67" s="466"/>
      <c r="H67" s="466"/>
      <c r="I67" s="466"/>
      <c r="J67" s="466"/>
      <c r="K67" s="466"/>
      <c r="L67" s="466"/>
      <c r="M67" s="466"/>
      <c r="N67" s="437"/>
      <c r="O67" s="387"/>
    </row>
    <row r="68" spans="1:16" x14ac:dyDescent="0.3">
      <c r="A68" s="412"/>
      <c r="B68" s="413"/>
      <c r="C68" s="466"/>
      <c r="D68" s="466"/>
      <c r="E68" s="466"/>
      <c r="F68" s="466"/>
      <c r="G68" s="466"/>
      <c r="H68" s="466"/>
      <c r="I68" s="466"/>
      <c r="J68" s="466"/>
      <c r="K68" s="466"/>
      <c r="L68" s="466"/>
      <c r="M68" s="466"/>
      <c r="N68" s="437"/>
      <c r="O68" s="387"/>
    </row>
    <row r="69" spans="1:16" x14ac:dyDescent="0.3">
      <c r="A69" s="412"/>
      <c r="B69" s="413" t="s">
        <v>34</v>
      </c>
      <c r="C69" s="466"/>
      <c r="D69" s="466"/>
      <c r="E69" s="466"/>
      <c r="F69" s="466"/>
      <c r="G69" s="466"/>
      <c r="H69" s="466"/>
      <c r="I69" s="466"/>
      <c r="J69" s="466"/>
      <c r="K69" s="466"/>
      <c r="L69" s="466"/>
      <c r="M69" s="466"/>
      <c r="N69" s="437"/>
      <c r="O69" s="387"/>
    </row>
    <row r="70" spans="1:16" x14ac:dyDescent="0.3">
      <c r="A70" s="412"/>
      <c r="B70" s="413"/>
      <c r="C70" s="466"/>
      <c r="D70" s="466"/>
      <c r="E70" s="466"/>
      <c r="F70" s="466"/>
      <c r="G70" s="466"/>
      <c r="H70" s="466"/>
      <c r="I70" s="466"/>
      <c r="J70" s="466"/>
      <c r="K70" s="466"/>
      <c r="L70" s="466"/>
      <c r="M70" s="466"/>
      <c r="N70" s="437"/>
      <c r="O70" s="387"/>
    </row>
    <row r="71" spans="1:16" x14ac:dyDescent="0.3">
      <c r="A71" s="412"/>
      <c r="B71" s="413" t="s">
        <v>36</v>
      </c>
      <c r="C71" s="466">
        <v>0</v>
      </c>
      <c r="D71" s="466"/>
      <c r="E71" s="466">
        <v>0</v>
      </c>
      <c r="F71" s="466"/>
      <c r="G71" s="466"/>
      <c r="H71" s="466"/>
      <c r="I71" s="466"/>
      <c r="J71" s="466"/>
      <c r="K71" s="466"/>
      <c r="L71" s="466"/>
      <c r="M71" s="466">
        <v>0</v>
      </c>
      <c r="N71" s="437"/>
      <c r="O71" s="387"/>
    </row>
    <row r="72" spans="1:16" x14ac:dyDescent="0.3">
      <c r="A72" s="412"/>
      <c r="B72" s="413" t="s">
        <v>147</v>
      </c>
      <c r="C72" s="466">
        <f>59167</f>
        <v>59167</v>
      </c>
      <c r="D72" s="466"/>
      <c r="E72" s="466">
        <v>0</v>
      </c>
      <c r="F72" s="466"/>
      <c r="G72" s="466"/>
      <c r="H72" s="466"/>
      <c r="I72" s="466"/>
      <c r="J72" s="466"/>
      <c r="K72" s="466"/>
      <c r="L72" s="466"/>
      <c r="M72" s="466">
        <f>+E72+I72</f>
        <v>0</v>
      </c>
      <c r="N72" s="437"/>
      <c r="O72" s="387"/>
    </row>
    <row r="73" spans="1:16" x14ac:dyDescent="0.3">
      <c r="A73" s="412"/>
      <c r="B73" s="413" t="s">
        <v>171</v>
      </c>
      <c r="C73" s="466">
        <v>0</v>
      </c>
      <c r="D73" s="466"/>
      <c r="E73" s="466">
        <v>0</v>
      </c>
      <c r="F73" s="466"/>
      <c r="G73" s="466"/>
      <c r="H73" s="466"/>
      <c r="I73" s="466"/>
      <c r="J73" s="466"/>
      <c r="K73" s="466"/>
      <c r="L73" s="466"/>
      <c r="M73" s="466">
        <v>0</v>
      </c>
      <c r="N73" s="437"/>
      <c r="O73" s="387"/>
      <c r="P73" s="472"/>
    </row>
    <row r="74" spans="1:16" x14ac:dyDescent="0.3">
      <c r="A74" s="412"/>
      <c r="B74" s="413" t="s">
        <v>38</v>
      </c>
      <c r="C74" s="466">
        <v>0</v>
      </c>
      <c r="D74" s="466"/>
      <c r="E74" s="466">
        <v>0</v>
      </c>
      <c r="F74" s="466"/>
      <c r="G74" s="466"/>
      <c r="H74" s="466"/>
      <c r="I74" s="466"/>
      <c r="J74" s="466"/>
      <c r="K74" s="466"/>
      <c r="L74" s="466"/>
      <c r="M74" s="466">
        <v>0</v>
      </c>
      <c r="N74" s="437"/>
      <c r="O74" s="387"/>
      <c r="P74" s="472"/>
    </row>
    <row r="75" spans="1:16" x14ac:dyDescent="0.3">
      <c r="A75" s="412"/>
      <c r="B75" s="413" t="s">
        <v>39</v>
      </c>
      <c r="C75" s="466">
        <f>SUM(C62:C74)</f>
        <v>300000</v>
      </c>
      <c r="D75" s="466"/>
      <c r="E75" s="466">
        <f>SUM(E62:E74)</f>
        <v>38386</v>
      </c>
      <c r="F75" s="466"/>
      <c r="G75" s="466"/>
      <c r="H75" s="466"/>
      <c r="I75" s="466"/>
      <c r="J75" s="466"/>
      <c r="K75" s="466"/>
      <c r="L75" s="466"/>
      <c r="M75" s="466">
        <f>SUM(M62:M74)</f>
        <v>36336</v>
      </c>
      <c r="N75" s="437"/>
      <c r="O75" s="387"/>
    </row>
    <row r="76" spans="1:16" x14ac:dyDescent="0.3">
      <c r="A76" s="389"/>
      <c r="B76" s="473"/>
      <c r="C76" s="474"/>
      <c r="D76" s="474"/>
      <c r="E76" s="474"/>
      <c r="F76" s="474"/>
      <c r="G76" s="474"/>
      <c r="H76" s="474"/>
      <c r="I76" s="474"/>
      <c r="J76" s="474"/>
      <c r="K76" s="474"/>
      <c r="L76" s="474"/>
      <c r="M76" s="474"/>
      <c r="N76" s="594"/>
      <c r="O76" s="387"/>
    </row>
    <row r="77" spans="1:16" x14ac:dyDescent="0.3">
      <c r="A77" s="389"/>
      <c r="B77" s="401"/>
      <c r="C77" s="401"/>
      <c r="D77" s="401"/>
      <c r="E77" s="401"/>
      <c r="F77" s="401"/>
      <c r="G77" s="401"/>
      <c r="H77" s="401"/>
      <c r="I77" s="401"/>
      <c r="J77" s="401"/>
      <c r="K77" s="401"/>
      <c r="L77" s="401"/>
      <c r="M77" s="401"/>
      <c r="N77" s="594"/>
      <c r="O77" s="387"/>
    </row>
    <row r="78" spans="1:16" x14ac:dyDescent="0.3">
      <c r="A78" s="389"/>
      <c r="B78" s="408" t="s">
        <v>40</v>
      </c>
      <c r="C78" s="477" t="s">
        <v>120</v>
      </c>
      <c r="D78" s="478">
        <f>+K171</f>
        <v>43220</v>
      </c>
      <c r="E78" s="400"/>
      <c r="F78" s="400"/>
      <c r="G78" s="400"/>
      <c r="H78" s="400"/>
      <c r="I78" s="400"/>
      <c r="J78" s="404"/>
      <c r="K78" s="404" t="s">
        <v>133</v>
      </c>
      <c r="L78" s="404"/>
      <c r="M78" s="404" t="s">
        <v>143</v>
      </c>
      <c r="N78" s="594"/>
      <c r="O78" s="387"/>
    </row>
    <row r="79" spans="1:16" x14ac:dyDescent="0.3">
      <c r="A79" s="479"/>
      <c r="B79" s="413" t="s">
        <v>41</v>
      </c>
      <c r="C79" s="413"/>
      <c r="D79" s="413"/>
      <c r="E79" s="413"/>
      <c r="F79" s="413"/>
      <c r="G79" s="413"/>
      <c r="H79" s="413"/>
      <c r="I79" s="413"/>
      <c r="J79" s="413"/>
      <c r="K79" s="466">
        <f>+'Oct 2008'!K112</f>
        <v>0</v>
      </c>
      <c r="L79" s="413"/>
      <c r="M79" s="467">
        <v>0</v>
      </c>
      <c r="N79" s="437"/>
      <c r="O79" s="387"/>
    </row>
    <row r="80" spans="1:16" x14ac:dyDescent="0.3">
      <c r="A80" s="479"/>
      <c r="B80" s="413" t="s">
        <v>42</v>
      </c>
      <c r="C80" s="441" t="s">
        <v>207</v>
      </c>
      <c r="D80" s="480" t="s">
        <v>207</v>
      </c>
      <c r="E80" s="481"/>
      <c r="F80" s="413"/>
      <c r="G80" s="413"/>
      <c r="H80" s="413"/>
      <c r="I80" s="413"/>
      <c r="J80" s="413"/>
      <c r="K80" s="466">
        <f>2050+259</f>
        <v>2309</v>
      </c>
      <c r="L80" s="413"/>
      <c r="M80" s="467"/>
      <c r="N80" s="437"/>
      <c r="O80" s="387"/>
    </row>
    <row r="81" spans="1:16" x14ac:dyDescent="0.3">
      <c r="A81" s="479"/>
      <c r="B81" s="413" t="s">
        <v>204</v>
      </c>
      <c r="C81" s="441"/>
      <c r="D81" s="480"/>
      <c r="E81" s="481"/>
      <c r="F81" s="413"/>
      <c r="G81" s="413"/>
      <c r="H81" s="413"/>
      <c r="I81" s="413"/>
      <c r="J81" s="413"/>
      <c r="K81" s="466"/>
      <c r="L81" s="413"/>
      <c r="M81" s="467">
        <f>2289+4-1578</f>
        <v>715</v>
      </c>
      <c r="N81" s="437"/>
      <c r="O81" s="387"/>
    </row>
    <row r="82" spans="1:16" x14ac:dyDescent="0.3">
      <c r="A82" s="479"/>
      <c r="B82" s="413" t="s">
        <v>205</v>
      </c>
      <c r="C82" s="441"/>
      <c r="D82" s="480"/>
      <c r="E82" s="481"/>
      <c r="F82" s="413"/>
      <c r="G82" s="413"/>
      <c r="H82" s="413"/>
      <c r="I82" s="413"/>
      <c r="J82" s="413"/>
      <c r="K82" s="466"/>
      <c r="L82" s="413"/>
      <c r="M82" s="467">
        <v>110</v>
      </c>
      <c r="N82" s="437"/>
      <c r="O82" s="387"/>
    </row>
    <row r="83" spans="1:16" x14ac:dyDescent="0.3">
      <c r="A83" s="479"/>
      <c r="B83" s="413" t="s">
        <v>206</v>
      </c>
      <c r="C83" s="441"/>
      <c r="D83" s="480"/>
      <c r="E83" s="481"/>
      <c r="F83" s="413"/>
      <c r="G83" s="413"/>
      <c r="H83" s="413"/>
      <c r="I83" s="413"/>
      <c r="J83" s="413"/>
      <c r="K83" s="466"/>
      <c r="L83" s="413"/>
      <c r="M83" s="467">
        <v>21</v>
      </c>
      <c r="N83" s="437"/>
      <c r="O83" s="387"/>
      <c r="P83" s="472"/>
    </row>
    <row r="84" spans="1:16" x14ac:dyDescent="0.3">
      <c r="A84" s="479"/>
      <c r="B84" s="413" t="s">
        <v>44</v>
      </c>
      <c r="C84" s="413"/>
      <c r="D84" s="413"/>
      <c r="E84" s="413"/>
      <c r="F84" s="413"/>
      <c r="G84" s="413"/>
      <c r="H84" s="413"/>
      <c r="I84" s="413"/>
      <c r="J84" s="413"/>
      <c r="K84" s="466"/>
      <c r="L84" s="413"/>
      <c r="M84" s="467">
        <v>0</v>
      </c>
      <c r="N84" s="437"/>
      <c r="O84" s="387"/>
    </row>
    <row r="85" spans="1:16" x14ac:dyDescent="0.3">
      <c r="A85" s="479"/>
      <c r="B85" s="413" t="s">
        <v>45</v>
      </c>
      <c r="C85" s="413"/>
      <c r="D85" s="413"/>
      <c r="E85" s="413"/>
      <c r="F85" s="413"/>
      <c r="G85" s="413"/>
      <c r="H85" s="413"/>
      <c r="I85" s="413"/>
      <c r="J85" s="413"/>
      <c r="K85" s="466">
        <f>SUM(K79:K84)</f>
        <v>2309</v>
      </c>
      <c r="L85" s="413"/>
      <c r="M85" s="466">
        <f>SUM(M79:M84)</f>
        <v>846</v>
      </c>
      <c r="N85" s="437"/>
      <c r="O85" s="387"/>
    </row>
    <row r="86" spans="1:16" x14ac:dyDescent="0.3">
      <c r="A86" s="479"/>
      <c r="B86" s="413" t="s">
        <v>46</v>
      </c>
      <c r="C86" s="413"/>
      <c r="D86" s="413"/>
      <c r="E86" s="413"/>
      <c r="F86" s="413"/>
      <c r="G86" s="413"/>
      <c r="H86" s="413"/>
      <c r="I86" s="413"/>
      <c r="J86" s="413"/>
      <c r="K86" s="466">
        <f>-M86</f>
        <v>0</v>
      </c>
      <c r="L86" s="413"/>
      <c r="M86" s="467">
        <v>0</v>
      </c>
      <c r="N86" s="437"/>
      <c r="O86" s="387"/>
    </row>
    <row r="87" spans="1:16" x14ac:dyDescent="0.3">
      <c r="A87" s="479"/>
      <c r="B87" s="413" t="s">
        <v>47</v>
      </c>
      <c r="C87" s="413"/>
      <c r="D87" s="413"/>
      <c r="E87" s="413"/>
      <c r="F87" s="413"/>
      <c r="G87" s="413"/>
      <c r="H87" s="413"/>
      <c r="I87" s="413"/>
      <c r="J87" s="413"/>
      <c r="K87" s="466">
        <f>K85+K86</f>
        <v>2309</v>
      </c>
      <c r="L87" s="413"/>
      <c r="M87" s="466">
        <f>M85+M86</f>
        <v>846</v>
      </c>
      <c r="N87" s="437"/>
      <c r="O87" s="387"/>
      <c r="P87" s="482"/>
    </row>
    <row r="88" spans="1:16" x14ac:dyDescent="0.3">
      <c r="A88" s="479"/>
      <c r="B88" s="483" t="s">
        <v>48</v>
      </c>
      <c r="C88" s="483"/>
      <c r="D88" s="483"/>
      <c r="E88" s="413"/>
      <c r="F88" s="413"/>
      <c r="G88" s="413"/>
      <c r="H88" s="413"/>
      <c r="I88" s="413"/>
      <c r="J88" s="413"/>
      <c r="K88" s="466"/>
      <c r="L88" s="413"/>
      <c r="M88" s="467"/>
      <c r="N88" s="417"/>
      <c r="O88" s="387"/>
    </row>
    <row r="89" spans="1:16" x14ac:dyDescent="0.3">
      <c r="A89" s="479">
        <v>1</v>
      </c>
      <c r="B89" s="413" t="s">
        <v>49</v>
      </c>
      <c r="C89" s="413"/>
      <c r="D89" s="413"/>
      <c r="E89" s="413"/>
      <c r="F89" s="413"/>
      <c r="G89" s="413"/>
      <c r="H89" s="413"/>
      <c r="I89" s="413"/>
      <c r="J89" s="413"/>
      <c r="K89" s="413"/>
      <c r="L89" s="413"/>
      <c r="M89" s="467">
        <v>0</v>
      </c>
      <c r="N89" s="417"/>
      <c r="O89" s="387"/>
      <c r="P89" s="472"/>
    </row>
    <row r="90" spans="1:16" x14ac:dyDescent="0.3">
      <c r="A90" s="479">
        <v>2</v>
      </c>
      <c r="B90" s="413" t="s">
        <v>50</v>
      </c>
      <c r="C90" s="413"/>
      <c r="D90" s="413"/>
      <c r="E90" s="413"/>
      <c r="F90" s="413"/>
      <c r="G90" s="413"/>
      <c r="H90" s="413"/>
      <c r="I90" s="413"/>
      <c r="J90" s="413"/>
      <c r="K90" s="413"/>
      <c r="L90" s="413"/>
      <c r="M90" s="467">
        <v>-2</v>
      </c>
      <c r="N90" s="417"/>
      <c r="O90" s="387"/>
      <c r="P90" s="482"/>
    </row>
    <row r="91" spans="1:16" x14ac:dyDescent="0.3">
      <c r="A91" s="479">
        <v>3</v>
      </c>
      <c r="B91" s="413" t="s">
        <v>194</v>
      </c>
      <c r="C91" s="413"/>
      <c r="D91" s="413"/>
      <c r="E91" s="413"/>
      <c r="F91" s="413"/>
      <c r="G91" s="413"/>
      <c r="H91" s="413"/>
      <c r="I91" s="413"/>
      <c r="J91" s="413"/>
      <c r="K91" s="413"/>
      <c r="L91" s="413"/>
      <c r="M91" s="467">
        <f>-14-13-1</f>
        <v>-28</v>
      </c>
      <c r="N91" s="417"/>
      <c r="O91" s="387"/>
    </row>
    <row r="92" spans="1:16" x14ac:dyDescent="0.3">
      <c r="A92" s="484" t="s">
        <v>184</v>
      </c>
      <c r="B92" s="413" t="s">
        <v>146</v>
      </c>
      <c r="C92" s="413"/>
      <c r="D92" s="413"/>
      <c r="E92" s="413"/>
      <c r="F92" s="413"/>
      <c r="G92" s="413"/>
      <c r="H92" s="413"/>
      <c r="I92" s="413"/>
      <c r="J92" s="413"/>
      <c r="K92" s="413"/>
      <c r="L92" s="413"/>
      <c r="M92" s="467">
        <v>0</v>
      </c>
      <c r="N92" s="417"/>
      <c r="O92" s="387"/>
    </row>
    <row r="93" spans="1:16" x14ac:dyDescent="0.3">
      <c r="A93" s="484" t="s">
        <v>192</v>
      </c>
      <c r="B93" s="413" t="s">
        <v>51</v>
      </c>
      <c r="C93" s="413"/>
      <c r="D93" s="413"/>
      <c r="E93" s="413"/>
      <c r="F93" s="413"/>
      <c r="G93" s="413"/>
      <c r="H93" s="413"/>
      <c r="I93" s="413"/>
      <c r="J93" s="413"/>
      <c r="K93" s="413"/>
      <c r="L93" s="413"/>
      <c r="M93" s="467">
        <v>-48</v>
      </c>
      <c r="N93" s="417"/>
      <c r="O93" s="387"/>
    </row>
    <row r="94" spans="1:16" x14ac:dyDescent="0.3">
      <c r="A94" s="479">
        <v>5</v>
      </c>
      <c r="B94" s="413" t="s">
        <v>52</v>
      </c>
      <c r="C94" s="413"/>
      <c r="D94" s="413"/>
      <c r="E94" s="413"/>
      <c r="F94" s="413"/>
      <c r="G94" s="413"/>
      <c r="H94" s="413"/>
      <c r="I94" s="413"/>
      <c r="J94" s="413"/>
      <c r="K94" s="413"/>
      <c r="L94" s="413"/>
      <c r="M94" s="467">
        <v>-54</v>
      </c>
      <c r="N94" s="417"/>
      <c r="O94" s="387"/>
    </row>
    <row r="95" spans="1:16" x14ac:dyDescent="0.3">
      <c r="A95" s="479">
        <v>6</v>
      </c>
      <c r="B95" s="413" t="s">
        <v>172</v>
      </c>
      <c r="C95" s="413"/>
      <c r="D95" s="413"/>
      <c r="E95" s="413"/>
      <c r="F95" s="413"/>
      <c r="G95" s="413"/>
      <c r="H95" s="413"/>
      <c r="I95" s="413"/>
      <c r="J95" s="413"/>
      <c r="K95" s="413"/>
      <c r="L95" s="413"/>
      <c r="M95" s="467">
        <v>-43</v>
      </c>
      <c r="N95" s="417"/>
      <c r="O95" s="387"/>
    </row>
    <row r="96" spans="1:16" x14ac:dyDescent="0.3">
      <c r="A96" s="479">
        <v>7</v>
      </c>
      <c r="B96" s="413" t="s">
        <v>53</v>
      </c>
      <c r="C96" s="413"/>
      <c r="D96" s="413"/>
      <c r="E96" s="413"/>
      <c r="F96" s="413"/>
      <c r="G96" s="413"/>
      <c r="H96" s="413"/>
      <c r="I96" s="413"/>
      <c r="J96" s="413"/>
      <c r="K96" s="413"/>
      <c r="L96" s="413"/>
      <c r="M96" s="467">
        <v>-7</v>
      </c>
      <c r="N96" s="417"/>
      <c r="O96" s="387"/>
    </row>
    <row r="97" spans="1:16" x14ac:dyDescent="0.3">
      <c r="A97" s="479">
        <v>8</v>
      </c>
      <c r="B97" s="413" t="s">
        <v>69</v>
      </c>
      <c r="C97" s="413"/>
      <c r="D97" s="413"/>
      <c r="E97" s="413"/>
      <c r="F97" s="413"/>
      <c r="G97" s="413"/>
      <c r="H97" s="413"/>
      <c r="I97" s="413"/>
      <c r="J97" s="413"/>
      <c r="K97" s="466">
        <f>-M97</f>
        <v>-259</v>
      </c>
      <c r="L97" s="413"/>
      <c r="M97" s="467">
        <v>259</v>
      </c>
      <c r="N97" s="417"/>
      <c r="O97" s="387"/>
    </row>
    <row r="98" spans="1:16" x14ac:dyDescent="0.3">
      <c r="A98" s="479">
        <v>9</v>
      </c>
      <c r="B98" s="413" t="s">
        <v>193</v>
      </c>
      <c r="C98" s="413"/>
      <c r="D98" s="413"/>
      <c r="E98" s="413"/>
      <c r="F98" s="413"/>
      <c r="G98" s="413"/>
      <c r="H98" s="413"/>
      <c r="I98" s="413"/>
      <c r="J98" s="413"/>
      <c r="K98" s="413"/>
      <c r="L98" s="413"/>
      <c r="M98" s="467">
        <v>0</v>
      </c>
      <c r="N98" s="417"/>
      <c r="O98" s="387"/>
    </row>
    <row r="99" spans="1:16" x14ac:dyDescent="0.3">
      <c r="A99" s="479">
        <v>10</v>
      </c>
      <c r="B99" s="413" t="s">
        <v>54</v>
      </c>
      <c r="C99" s="413"/>
      <c r="D99" s="413"/>
      <c r="E99" s="413"/>
      <c r="F99" s="413"/>
      <c r="G99" s="413"/>
      <c r="H99" s="413"/>
      <c r="I99" s="413"/>
      <c r="J99" s="413"/>
      <c r="K99" s="413"/>
      <c r="L99" s="413"/>
      <c r="M99" s="467">
        <v>0</v>
      </c>
      <c r="N99" s="417"/>
      <c r="O99" s="387"/>
    </row>
    <row r="100" spans="1:16" x14ac:dyDescent="0.3">
      <c r="A100" s="479">
        <v>11</v>
      </c>
      <c r="B100" s="413" t="s">
        <v>55</v>
      </c>
      <c r="C100" s="413"/>
      <c r="D100" s="413"/>
      <c r="E100" s="413"/>
      <c r="F100" s="413"/>
      <c r="G100" s="413"/>
      <c r="H100" s="413"/>
      <c r="I100" s="413"/>
      <c r="J100" s="413"/>
      <c r="K100" s="413"/>
      <c r="L100" s="413"/>
      <c r="M100" s="467">
        <v>0</v>
      </c>
      <c r="N100" s="417"/>
      <c r="O100" s="387"/>
    </row>
    <row r="101" spans="1:16" x14ac:dyDescent="0.3">
      <c r="A101" s="479">
        <v>12</v>
      </c>
      <c r="B101" s="413" t="s">
        <v>173</v>
      </c>
      <c r="C101" s="413"/>
      <c r="D101" s="413"/>
      <c r="E101" s="413"/>
      <c r="F101" s="413"/>
      <c r="G101" s="413"/>
      <c r="H101" s="413"/>
      <c r="I101" s="413"/>
      <c r="J101" s="413"/>
      <c r="K101" s="413"/>
      <c r="L101" s="413"/>
      <c r="M101" s="467">
        <v>-14</v>
      </c>
      <c r="N101" s="417"/>
      <c r="O101" s="387"/>
    </row>
    <row r="102" spans="1:16" x14ac:dyDescent="0.3">
      <c r="A102" s="479">
        <v>13</v>
      </c>
      <c r="B102" s="413" t="s">
        <v>195</v>
      </c>
      <c r="C102" s="413"/>
      <c r="D102" s="413"/>
      <c r="E102" s="413"/>
      <c r="F102" s="413"/>
      <c r="G102" s="413"/>
      <c r="H102" s="413"/>
      <c r="I102" s="413"/>
      <c r="J102" s="413"/>
      <c r="K102" s="413"/>
      <c r="L102" s="413"/>
      <c r="M102" s="467">
        <f>-M87-SUM(M89:M101)</f>
        <v>-909</v>
      </c>
      <c r="N102" s="417"/>
      <c r="O102" s="387"/>
    </row>
    <row r="103" spans="1:16" x14ac:dyDescent="0.3">
      <c r="A103" s="412"/>
      <c r="B103" s="485" t="s">
        <v>56</v>
      </c>
      <c r="C103" s="486"/>
      <c r="D103" s="486"/>
      <c r="E103" s="416"/>
      <c r="F103" s="416"/>
      <c r="G103" s="416"/>
      <c r="H103" s="416"/>
      <c r="I103" s="416"/>
      <c r="J103" s="416"/>
      <c r="K103" s="416"/>
      <c r="L103" s="416"/>
      <c r="M103" s="487"/>
      <c r="N103" s="417"/>
      <c r="O103" s="387"/>
    </row>
    <row r="104" spans="1:16" x14ac:dyDescent="0.3">
      <c r="A104" s="412"/>
      <c r="B104" s="413" t="s">
        <v>57</v>
      </c>
      <c r="C104" s="483"/>
      <c r="D104" s="483"/>
      <c r="E104" s="413"/>
      <c r="F104" s="413"/>
      <c r="G104" s="413"/>
      <c r="H104" s="413"/>
      <c r="I104" s="413"/>
      <c r="J104" s="413"/>
      <c r="K104" s="466">
        <f>-K155</f>
        <v>0</v>
      </c>
      <c r="L104" s="466"/>
      <c r="M104" s="467"/>
      <c r="N104" s="417"/>
      <c r="O104" s="387"/>
    </row>
    <row r="105" spans="1:16" x14ac:dyDescent="0.3">
      <c r="A105" s="412"/>
      <c r="B105" s="413" t="s">
        <v>58</v>
      </c>
      <c r="C105" s="413"/>
      <c r="D105" s="413"/>
      <c r="E105" s="413"/>
      <c r="F105" s="413"/>
      <c r="G105" s="413"/>
      <c r="H105" s="413"/>
      <c r="I105" s="413"/>
      <c r="J105" s="413"/>
      <c r="K105" s="466">
        <f>-I155</f>
        <v>0</v>
      </c>
      <c r="L105" s="466"/>
      <c r="M105" s="467"/>
      <c r="N105" s="417"/>
      <c r="O105" s="387"/>
      <c r="P105" s="472"/>
    </row>
    <row r="106" spans="1:16" x14ac:dyDescent="0.3">
      <c r="A106" s="412"/>
      <c r="B106" s="413" t="s">
        <v>187</v>
      </c>
      <c r="C106" s="413"/>
      <c r="D106" s="413"/>
      <c r="E106" s="413"/>
      <c r="F106" s="413"/>
      <c r="G106" s="413"/>
      <c r="H106" s="413"/>
      <c r="I106" s="413"/>
      <c r="J106" s="413"/>
      <c r="K106" s="466">
        <v>0</v>
      </c>
      <c r="L106" s="466"/>
      <c r="M106" s="467"/>
      <c r="N106" s="417"/>
      <c r="O106" s="387"/>
    </row>
    <row r="107" spans="1:16" x14ac:dyDescent="0.3">
      <c r="A107" s="412"/>
      <c r="B107" s="413" t="s">
        <v>185</v>
      </c>
      <c r="C107" s="413"/>
      <c r="D107" s="413"/>
      <c r="E107" s="413"/>
      <c r="F107" s="413"/>
      <c r="G107" s="413"/>
      <c r="H107" s="413"/>
      <c r="I107" s="413"/>
      <c r="J107" s="413"/>
      <c r="K107" s="466">
        <v>-1105</v>
      </c>
      <c r="L107" s="466"/>
      <c r="M107" s="467"/>
      <c r="N107" s="417"/>
      <c r="O107" s="387"/>
    </row>
    <row r="108" spans="1:16" x14ac:dyDescent="0.3">
      <c r="A108" s="412"/>
      <c r="B108" s="413" t="s">
        <v>59</v>
      </c>
      <c r="C108" s="413"/>
      <c r="D108" s="413"/>
      <c r="E108" s="413"/>
      <c r="F108" s="413"/>
      <c r="G108" s="413"/>
      <c r="H108" s="413"/>
      <c r="I108" s="413"/>
      <c r="J108" s="413"/>
      <c r="K108" s="466">
        <v>-575</v>
      </c>
      <c r="L108" s="466"/>
      <c r="M108" s="467"/>
      <c r="N108" s="417"/>
      <c r="O108" s="387"/>
    </row>
    <row r="109" spans="1:16" x14ac:dyDescent="0.3">
      <c r="A109" s="412"/>
      <c r="B109" s="413" t="s">
        <v>186</v>
      </c>
      <c r="C109" s="413"/>
      <c r="D109" s="413"/>
      <c r="E109" s="413"/>
      <c r="F109" s="413"/>
      <c r="G109" s="413"/>
      <c r="H109" s="413"/>
      <c r="I109" s="413"/>
      <c r="J109" s="413"/>
      <c r="K109" s="466">
        <v>-370</v>
      </c>
      <c r="L109" s="466"/>
      <c r="M109" s="467"/>
      <c r="N109" s="417"/>
      <c r="O109" s="387"/>
    </row>
    <row r="110" spans="1:16" x14ac:dyDescent="0.3">
      <c r="A110" s="412"/>
      <c r="B110" s="413" t="s">
        <v>60</v>
      </c>
      <c r="C110" s="413"/>
      <c r="D110" s="413"/>
      <c r="E110" s="413"/>
      <c r="F110" s="413"/>
      <c r="G110" s="413"/>
      <c r="H110" s="413"/>
      <c r="I110" s="413"/>
      <c r="J110" s="413"/>
      <c r="K110" s="466">
        <f>+K105+K106+K107+K108+K109</f>
        <v>-2050</v>
      </c>
      <c r="L110" s="466"/>
      <c r="M110" s="466">
        <f>SUM(M88:M109)</f>
        <v>-846</v>
      </c>
      <c r="N110" s="417"/>
      <c r="O110" s="387"/>
    </row>
    <row r="111" spans="1:16" x14ac:dyDescent="0.3">
      <c r="A111" s="412"/>
      <c r="B111" s="413" t="s">
        <v>61</v>
      </c>
      <c r="C111" s="413"/>
      <c r="D111" s="413"/>
      <c r="E111" s="413"/>
      <c r="F111" s="413"/>
      <c r="G111" s="413"/>
      <c r="H111" s="413"/>
      <c r="I111" s="413"/>
      <c r="J111" s="413"/>
      <c r="K111" s="466">
        <f>K87+K110+K97</f>
        <v>0</v>
      </c>
      <c r="L111" s="466"/>
      <c r="M111" s="466">
        <f>M87+M110</f>
        <v>0</v>
      </c>
      <c r="N111" s="417"/>
      <c r="O111" s="387"/>
    </row>
    <row r="112" spans="1:16" x14ac:dyDescent="0.3">
      <c r="A112" s="389"/>
      <c r="B112" s="475"/>
      <c r="C112" s="475"/>
      <c r="D112" s="475"/>
      <c r="E112" s="475"/>
      <c r="F112" s="475"/>
      <c r="G112" s="475"/>
      <c r="H112" s="475"/>
      <c r="I112" s="475"/>
      <c r="J112" s="475"/>
      <c r="K112" s="488"/>
      <c r="L112" s="488"/>
      <c r="M112" s="488"/>
      <c r="N112" s="591"/>
      <c r="O112" s="387"/>
    </row>
    <row r="113" spans="1:15" x14ac:dyDescent="0.3">
      <c r="A113" s="389"/>
      <c r="B113" s="476"/>
      <c r="C113" s="476"/>
      <c r="D113" s="476"/>
      <c r="E113" s="476"/>
      <c r="F113" s="476"/>
      <c r="G113" s="476"/>
      <c r="H113" s="476"/>
      <c r="I113" s="476"/>
      <c r="J113" s="476"/>
      <c r="K113" s="476"/>
      <c r="L113" s="476"/>
      <c r="M113" s="489"/>
      <c r="N113" s="591"/>
      <c r="O113" s="387"/>
    </row>
    <row r="114" spans="1:15" ht="18.600000000000001" thickBot="1" x14ac:dyDescent="0.4">
      <c r="A114" s="453"/>
      <c r="B114" s="454" t="str">
        <f>B54</f>
        <v>PSF1 INVESTOR REPORT QUARTER ENDING APRIL 2018</v>
      </c>
      <c r="C114" s="490"/>
      <c r="D114" s="490"/>
      <c r="E114" s="490"/>
      <c r="F114" s="490"/>
      <c r="G114" s="490"/>
      <c r="H114" s="490"/>
      <c r="I114" s="490"/>
      <c r="J114" s="490"/>
      <c r="K114" s="490"/>
      <c r="L114" s="490"/>
      <c r="M114" s="491"/>
      <c r="N114" s="457"/>
      <c r="O114" s="387"/>
    </row>
    <row r="115" spans="1:15" x14ac:dyDescent="0.3">
      <c r="A115" s="492"/>
      <c r="B115" s="493" t="s">
        <v>62</v>
      </c>
      <c r="C115" s="494"/>
      <c r="D115" s="494"/>
      <c r="E115" s="495"/>
      <c r="F115" s="495"/>
      <c r="G115" s="495"/>
      <c r="H115" s="495"/>
      <c r="I115" s="495"/>
      <c r="J115" s="495"/>
      <c r="K115" s="495"/>
      <c r="L115" s="495"/>
      <c r="M115" s="496"/>
      <c r="N115" s="595"/>
      <c r="O115" s="387"/>
    </row>
    <row r="116" spans="1:15" x14ac:dyDescent="0.3">
      <c r="A116" s="389"/>
      <c r="B116" s="497"/>
      <c r="C116" s="399"/>
      <c r="D116" s="399"/>
      <c r="E116" s="391"/>
      <c r="F116" s="391"/>
      <c r="G116" s="391"/>
      <c r="H116" s="391"/>
      <c r="I116" s="391"/>
      <c r="J116" s="391"/>
      <c r="K116" s="391"/>
      <c r="L116" s="391"/>
      <c r="M116" s="461"/>
      <c r="N116" s="591"/>
      <c r="O116" s="387"/>
    </row>
    <row r="117" spans="1:15" x14ac:dyDescent="0.3">
      <c r="A117" s="389"/>
      <c r="B117" s="498" t="s">
        <v>63</v>
      </c>
      <c r="C117" s="399"/>
      <c r="D117" s="399"/>
      <c r="E117" s="391"/>
      <c r="F117" s="391"/>
      <c r="G117" s="391"/>
      <c r="H117" s="391"/>
      <c r="I117" s="391"/>
      <c r="J117" s="391"/>
      <c r="K117" s="391"/>
      <c r="L117" s="391"/>
      <c r="M117" s="461"/>
      <c r="N117" s="591"/>
      <c r="O117" s="387"/>
    </row>
    <row r="118" spans="1:15" x14ac:dyDescent="0.3">
      <c r="A118" s="412"/>
      <c r="B118" s="413" t="s">
        <v>64</v>
      </c>
      <c r="C118" s="413"/>
      <c r="D118" s="413"/>
      <c r="E118" s="413"/>
      <c r="F118" s="413"/>
      <c r="G118" s="413"/>
      <c r="H118" s="413"/>
      <c r="I118" s="413"/>
      <c r="J118" s="413"/>
      <c r="K118" s="413"/>
      <c r="L118" s="413"/>
      <c r="M118" s="467">
        <f>+M30*0.045</f>
        <v>13500</v>
      </c>
      <c r="N118" s="437"/>
      <c r="O118" s="387"/>
    </row>
    <row r="119" spans="1:15" x14ac:dyDescent="0.3">
      <c r="A119" s="412"/>
      <c r="B119" s="413" t="s">
        <v>65</v>
      </c>
      <c r="C119" s="413"/>
      <c r="D119" s="413"/>
      <c r="E119" s="413"/>
      <c r="F119" s="413"/>
      <c r="G119" s="413"/>
      <c r="H119" s="413"/>
      <c r="I119" s="413"/>
      <c r="J119" s="413"/>
      <c r="K119" s="413"/>
      <c r="L119" s="413"/>
      <c r="M119" s="467">
        <v>15900</v>
      </c>
      <c r="N119" s="437"/>
      <c r="O119" s="387"/>
    </row>
    <row r="120" spans="1:15" x14ac:dyDescent="0.3">
      <c r="A120" s="412"/>
      <c r="B120" s="413" t="s">
        <v>66</v>
      </c>
      <c r="C120" s="413"/>
      <c r="D120" s="413"/>
      <c r="E120" s="413"/>
      <c r="F120" s="413"/>
      <c r="G120" s="413"/>
      <c r="H120" s="413"/>
      <c r="I120" s="413"/>
      <c r="J120" s="413"/>
      <c r="K120" s="413"/>
      <c r="L120" s="413"/>
      <c r="M120" s="467">
        <v>0</v>
      </c>
      <c r="N120" s="437"/>
      <c r="O120" s="387"/>
    </row>
    <row r="121" spans="1:15" x14ac:dyDescent="0.3">
      <c r="A121" s="412"/>
      <c r="B121" s="413" t="s">
        <v>67</v>
      </c>
      <c r="C121" s="413"/>
      <c r="D121" s="413"/>
      <c r="E121" s="413"/>
      <c r="F121" s="413"/>
      <c r="G121" s="413"/>
      <c r="H121" s="413"/>
      <c r="I121" s="413"/>
      <c r="J121" s="413"/>
      <c r="K121" s="413"/>
      <c r="L121" s="413"/>
      <c r="M121" s="467">
        <v>0</v>
      </c>
      <c r="N121" s="437"/>
      <c r="O121" s="387"/>
    </row>
    <row r="122" spans="1:15" x14ac:dyDescent="0.3">
      <c r="A122" s="412"/>
      <c r="B122" s="413" t="s">
        <v>68</v>
      </c>
      <c r="C122" s="413"/>
      <c r="D122" s="413"/>
      <c r="E122" s="413"/>
      <c r="F122" s="413"/>
      <c r="G122" s="413"/>
      <c r="H122" s="413"/>
      <c r="I122" s="413"/>
      <c r="J122" s="413"/>
      <c r="K122" s="413"/>
      <c r="L122" s="413"/>
      <c r="M122" s="467">
        <v>0</v>
      </c>
      <c r="N122" s="437"/>
      <c r="O122" s="387"/>
    </row>
    <row r="123" spans="1:15" x14ac:dyDescent="0.3">
      <c r="A123" s="412"/>
      <c r="B123" s="413" t="s">
        <v>51</v>
      </c>
      <c r="C123" s="413"/>
      <c r="D123" s="413"/>
      <c r="E123" s="413"/>
      <c r="F123" s="413"/>
      <c r="G123" s="413"/>
      <c r="H123" s="413"/>
      <c r="I123" s="413"/>
      <c r="J123" s="413"/>
      <c r="K123" s="413"/>
      <c r="L123" s="413"/>
      <c r="M123" s="467">
        <v>0</v>
      </c>
      <c r="N123" s="437"/>
      <c r="O123" s="387"/>
    </row>
    <row r="124" spans="1:15" x14ac:dyDescent="0.3">
      <c r="A124" s="412"/>
      <c r="B124" s="413" t="s">
        <v>52</v>
      </c>
      <c r="C124" s="413"/>
      <c r="D124" s="413"/>
      <c r="E124" s="413"/>
      <c r="F124" s="413"/>
      <c r="G124" s="413"/>
      <c r="H124" s="413"/>
      <c r="I124" s="413"/>
      <c r="J124" s="413"/>
      <c r="K124" s="413"/>
      <c r="L124" s="413"/>
      <c r="M124" s="467">
        <v>0</v>
      </c>
      <c r="N124" s="437"/>
      <c r="O124" s="387"/>
    </row>
    <row r="125" spans="1:15" x14ac:dyDescent="0.3">
      <c r="A125" s="412"/>
      <c r="B125" s="413" t="s">
        <v>172</v>
      </c>
      <c r="C125" s="413"/>
      <c r="D125" s="413"/>
      <c r="E125" s="413"/>
      <c r="F125" s="413"/>
      <c r="G125" s="413"/>
      <c r="H125" s="413"/>
      <c r="I125" s="413"/>
      <c r="J125" s="413"/>
      <c r="K125" s="413"/>
      <c r="L125" s="413"/>
      <c r="M125" s="467">
        <v>0</v>
      </c>
      <c r="N125" s="437"/>
      <c r="O125" s="387"/>
    </row>
    <row r="126" spans="1:15" x14ac:dyDescent="0.3">
      <c r="A126" s="412"/>
      <c r="B126" s="413" t="s">
        <v>69</v>
      </c>
      <c r="C126" s="413"/>
      <c r="D126" s="413"/>
      <c r="E126" s="413"/>
      <c r="F126" s="413"/>
      <c r="G126" s="413"/>
      <c r="H126" s="413"/>
      <c r="I126" s="413"/>
      <c r="J126" s="413"/>
      <c r="K126" s="413"/>
      <c r="L126" s="413"/>
      <c r="M126" s="467">
        <v>0</v>
      </c>
      <c r="N126" s="437"/>
      <c r="O126" s="387"/>
    </row>
    <row r="127" spans="1:15" x14ac:dyDescent="0.3">
      <c r="A127" s="412"/>
      <c r="B127" s="413" t="s">
        <v>193</v>
      </c>
      <c r="C127" s="413"/>
      <c r="D127" s="413"/>
      <c r="E127" s="413"/>
      <c r="F127" s="413"/>
      <c r="G127" s="413"/>
      <c r="H127" s="413"/>
      <c r="I127" s="413"/>
      <c r="J127" s="413"/>
      <c r="K127" s="413"/>
      <c r="L127" s="413"/>
      <c r="M127" s="467">
        <f>-M98</f>
        <v>0</v>
      </c>
      <c r="N127" s="437"/>
      <c r="O127" s="387"/>
    </row>
    <row r="128" spans="1:15" x14ac:dyDescent="0.3">
      <c r="A128" s="412"/>
      <c r="B128" s="413" t="s">
        <v>258</v>
      </c>
      <c r="C128" s="413"/>
      <c r="D128" s="413"/>
      <c r="E128" s="413"/>
      <c r="F128" s="413"/>
      <c r="G128" s="413"/>
      <c r="H128" s="413"/>
      <c r="I128" s="413"/>
      <c r="J128" s="413"/>
      <c r="K128" s="413"/>
      <c r="L128" s="413"/>
      <c r="M128" s="467">
        <v>0</v>
      </c>
      <c r="N128" s="437"/>
      <c r="O128" s="387"/>
    </row>
    <row r="129" spans="1:15" x14ac:dyDescent="0.3">
      <c r="A129" s="412"/>
      <c r="B129" s="413" t="s">
        <v>70</v>
      </c>
      <c r="C129" s="413"/>
      <c r="D129" s="413"/>
      <c r="E129" s="413"/>
      <c r="F129" s="413"/>
      <c r="G129" s="413"/>
      <c r="H129" s="413"/>
      <c r="I129" s="413"/>
      <c r="J129" s="413"/>
      <c r="K129" s="413"/>
      <c r="L129" s="413"/>
      <c r="M129" s="467">
        <f>SUM(M119:M128)</f>
        <v>15900</v>
      </c>
      <c r="N129" s="437"/>
      <c r="O129" s="387"/>
    </row>
    <row r="130" spans="1:15" x14ac:dyDescent="0.3">
      <c r="A130" s="389"/>
      <c r="B130" s="448"/>
      <c r="C130" s="448"/>
      <c r="D130" s="448"/>
      <c r="E130" s="448"/>
      <c r="F130" s="448"/>
      <c r="G130" s="448"/>
      <c r="H130" s="448"/>
      <c r="I130" s="448"/>
      <c r="J130" s="448"/>
      <c r="K130" s="448"/>
      <c r="L130" s="448"/>
      <c r="M130" s="499"/>
      <c r="N130" s="591"/>
      <c r="O130" s="387"/>
    </row>
    <row r="131" spans="1:15" x14ac:dyDescent="0.3">
      <c r="A131" s="389"/>
      <c r="B131" s="498" t="s">
        <v>37</v>
      </c>
      <c r="C131" s="391"/>
      <c r="D131" s="391"/>
      <c r="E131" s="391"/>
      <c r="F131" s="391"/>
      <c r="G131" s="391"/>
      <c r="H131" s="391"/>
      <c r="I131" s="391"/>
      <c r="J131" s="391"/>
      <c r="K131" s="391"/>
      <c r="L131" s="391"/>
      <c r="M131" s="461"/>
      <c r="N131" s="591"/>
      <c r="O131" s="387"/>
    </row>
    <row r="132" spans="1:15" x14ac:dyDescent="0.3">
      <c r="A132" s="412"/>
      <c r="B132" s="413" t="s">
        <v>71</v>
      </c>
      <c r="C132" s="413"/>
      <c r="D132" s="413"/>
      <c r="E132" s="500"/>
      <c r="F132" s="413"/>
      <c r="G132" s="413"/>
      <c r="H132" s="413"/>
      <c r="I132" s="413"/>
      <c r="J132" s="413"/>
      <c r="K132" s="413"/>
      <c r="L132" s="413"/>
      <c r="M132" s="501" t="s">
        <v>136</v>
      </c>
      <c r="N132" s="437"/>
      <c r="O132" s="387"/>
    </row>
    <row r="133" spans="1:15" x14ac:dyDescent="0.3">
      <c r="A133" s="412"/>
      <c r="B133" s="413" t="s">
        <v>72</v>
      </c>
      <c r="C133" s="413"/>
      <c r="D133" s="413"/>
      <c r="E133" s="413"/>
      <c r="F133" s="413"/>
      <c r="G133" s="413"/>
      <c r="H133" s="413"/>
      <c r="I133" s="413"/>
      <c r="J133" s="413"/>
      <c r="K133" s="413"/>
      <c r="L133" s="413"/>
      <c r="M133" s="501" t="s">
        <v>136</v>
      </c>
      <c r="N133" s="437"/>
      <c r="O133" s="387"/>
    </row>
    <row r="134" spans="1:15" x14ac:dyDescent="0.3">
      <c r="A134" s="412"/>
      <c r="B134" s="413" t="s">
        <v>73</v>
      </c>
      <c r="C134" s="413"/>
      <c r="D134" s="413"/>
      <c r="E134" s="413"/>
      <c r="F134" s="413"/>
      <c r="G134" s="413"/>
      <c r="H134" s="413"/>
      <c r="I134" s="413"/>
      <c r="J134" s="413"/>
      <c r="K134" s="413"/>
      <c r="L134" s="413"/>
      <c r="M134" s="501" t="s">
        <v>136</v>
      </c>
      <c r="N134" s="437"/>
      <c r="O134" s="387"/>
    </row>
    <row r="135" spans="1:15" x14ac:dyDescent="0.3">
      <c r="A135" s="412"/>
      <c r="B135" s="413" t="s">
        <v>74</v>
      </c>
      <c r="C135" s="413"/>
      <c r="D135" s="413"/>
      <c r="E135" s="413"/>
      <c r="F135" s="413"/>
      <c r="G135" s="413"/>
      <c r="H135" s="413"/>
      <c r="I135" s="413"/>
      <c r="J135" s="413"/>
      <c r="K135" s="413"/>
      <c r="L135" s="413"/>
      <c r="M135" s="501" t="s">
        <v>136</v>
      </c>
      <c r="N135" s="437"/>
      <c r="O135" s="387"/>
    </row>
    <row r="136" spans="1:15" x14ac:dyDescent="0.3">
      <c r="A136" s="389"/>
      <c r="B136" s="448"/>
      <c r="C136" s="448"/>
      <c r="D136" s="448"/>
      <c r="E136" s="448"/>
      <c r="F136" s="448"/>
      <c r="G136" s="448"/>
      <c r="H136" s="448"/>
      <c r="I136" s="448"/>
      <c r="J136" s="448"/>
      <c r="K136" s="448"/>
      <c r="L136" s="448"/>
      <c r="M136" s="499"/>
      <c r="N136" s="591"/>
      <c r="O136" s="387"/>
    </row>
    <row r="137" spans="1:15" x14ac:dyDescent="0.3">
      <c r="A137" s="389"/>
      <c r="B137" s="498" t="s">
        <v>75</v>
      </c>
      <c r="C137" s="399"/>
      <c r="D137" s="399"/>
      <c r="E137" s="391"/>
      <c r="F137" s="391"/>
      <c r="G137" s="391"/>
      <c r="H137" s="391"/>
      <c r="I137" s="391"/>
      <c r="J137" s="391"/>
      <c r="K137" s="391"/>
      <c r="L137" s="391"/>
      <c r="M137" s="502"/>
      <c r="N137" s="591"/>
      <c r="O137" s="387"/>
    </row>
    <row r="138" spans="1:15" x14ac:dyDescent="0.3">
      <c r="A138" s="412"/>
      <c r="B138" s="413" t="s">
        <v>76</v>
      </c>
      <c r="C138" s="413"/>
      <c r="D138" s="413"/>
      <c r="E138" s="413"/>
      <c r="F138" s="413"/>
      <c r="G138" s="413"/>
      <c r="H138" s="413"/>
      <c r="I138" s="413"/>
      <c r="J138" s="413"/>
      <c r="K138" s="413"/>
      <c r="L138" s="413"/>
      <c r="M138" s="467">
        <v>0</v>
      </c>
      <c r="N138" s="437"/>
      <c r="O138" s="387"/>
    </row>
    <row r="139" spans="1:15" x14ac:dyDescent="0.3">
      <c r="A139" s="412"/>
      <c r="B139" s="413" t="s">
        <v>190</v>
      </c>
      <c r="C139" s="413"/>
      <c r="D139" s="413"/>
      <c r="E139" s="413"/>
      <c r="F139" s="413"/>
      <c r="G139" s="413"/>
      <c r="H139" s="413"/>
      <c r="I139" s="413"/>
      <c r="J139" s="413"/>
      <c r="K139" s="413"/>
      <c r="L139" s="413"/>
      <c r="M139" s="467">
        <v>-257</v>
      </c>
      <c r="N139" s="437"/>
      <c r="O139" s="387"/>
    </row>
    <row r="140" spans="1:15" x14ac:dyDescent="0.3">
      <c r="A140" s="412"/>
      <c r="B140" s="413" t="s">
        <v>180</v>
      </c>
      <c r="C140" s="413"/>
      <c r="D140" s="413"/>
      <c r="E140" s="413"/>
      <c r="F140" s="413"/>
      <c r="G140" s="413"/>
      <c r="H140" s="413"/>
      <c r="I140" s="413"/>
      <c r="J140" s="413"/>
      <c r="K140" s="413"/>
      <c r="L140" s="413"/>
      <c r="M140" s="467">
        <f>-19+17</f>
        <v>-2</v>
      </c>
      <c r="N140" s="437"/>
      <c r="O140" s="387"/>
    </row>
    <row r="141" spans="1:15" x14ac:dyDescent="0.3">
      <c r="A141" s="412"/>
      <c r="B141" s="413" t="s">
        <v>77</v>
      </c>
      <c r="C141" s="413"/>
      <c r="D141" s="413"/>
      <c r="E141" s="413"/>
      <c r="F141" s="413"/>
      <c r="G141" s="413"/>
      <c r="H141" s="413"/>
      <c r="I141" s="413"/>
      <c r="J141" s="413"/>
      <c r="K141" s="413"/>
      <c r="L141" s="413"/>
      <c r="M141" s="467">
        <f>M139+M138+M140</f>
        <v>-259</v>
      </c>
      <c r="N141" s="437"/>
      <c r="O141" s="387"/>
    </row>
    <row r="142" spans="1:15" x14ac:dyDescent="0.3">
      <c r="A142" s="412"/>
      <c r="B142" s="413" t="s">
        <v>183</v>
      </c>
      <c r="C142" s="413"/>
      <c r="D142" s="413"/>
      <c r="E142" s="413"/>
      <c r="F142" s="413"/>
      <c r="G142" s="413"/>
      <c r="H142" s="413"/>
      <c r="I142" s="444"/>
      <c r="J142" s="413"/>
      <c r="K142" s="413"/>
      <c r="L142" s="413"/>
      <c r="M142" s="467">
        <f>M97</f>
        <v>259</v>
      </c>
      <c r="N142" s="437"/>
      <c r="O142" s="387"/>
    </row>
    <row r="143" spans="1:15" x14ac:dyDescent="0.3">
      <c r="A143" s="412"/>
      <c r="B143" s="413" t="s">
        <v>78</v>
      </c>
      <c r="C143" s="413"/>
      <c r="D143" s="413"/>
      <c r="E143" s="413"/>
      <c r="F143" s="413"/>
      <c r="G143" s="413"/>
      <c r="H143" s="413"/>
      <c r="I143" s="413"/>
      <c r="J143" s="413"/>
      <c r="K143" s="413"/>
      <c r="L143" s="413"/>
      <c r="M143" s="467">
        <f>M141+M142</f>
        <v>0</v>
      </c>
      <c r="N143" s="437"/>
      <c r="O143" s="387"/>
    </row>
    <row r="144" spans="1:15" ht="16.2" thickBot="1" x14ac:dyDescent="0.35">
      <c r="A144" s="389"/>
      <c r="B144" s="448"/>
      <c r="C144" s="448"/>
      <c r="D144" s="448"/>
      <c r="E144" s="448"/>
      <c r="F144" s="448"/>
      <c r="G144" s="448"/>
      <c r="H144" s="448"/>
      <c r="I144" s="448"/>
      <c r="J144" s="448"/>
      <c r="K144" s="448"/>
      <c r="L144" s="448"/>
      <c r="M144" s="499"/>
      <c r="N144" s="591"/>
      <c r="O144" s="387"/>
    </row>
    <row r="145" spans="1:16" x14ac:dyDescent="0.3">
      <c r="A145" s="383"/>
      <c r="B145" s="386"/>
      <c r="C145" s="386"/>
      <c r="D145" s="386"/>
      <c r="E145" s="386"/>
      <c r="F145" s="386"/>
      <c r="G145" s="386"/>
      <c r="H145" s="386"/>
      <c r="I145" s="386"/>
      <c r="J145" s="386"/>
      <c r="K145" s="386"/>
      <c r="L145" s="386"/>
      <c r="M145" s="503"/>
      <c r="N145" s="590"/>
      <c r="O145" s="387"/>
    </row>
    <row r="146" spans="1:16" x14ac:dyDescent="0.3">
      <c r="A146" s="389"/>
      <c r="B146" s="498" t="s">
        <v>79</v>
      </c>
      <c r="C146" s="399"/>
      <c r="D146" s="399"/>
      <c r="E146" s="391"/>
      <c r="F146" s="391"/>
      <c r="G146" s="391"/>
      <c r="H146" s="391"/>
      <c r="I146" s="391"/>
      <c r="J146" s="391"/>
      <c r="K146" s="391"/>
      <c r="L146" s="391"/>
      <c r="M146" s="461"/>
      <c r="N146" s="591"/>
      <c r="O146" s="387"/>
    </row>
    <row r="147" spans="1:16" x14ac:dyDescent="0.3">
      <c r="A147" s="389"/>
      <c r="B147" s="497"/>
      <c r="C147" s="399"/>
      <c r="D147" s="399"/>
      <c r="E147" s="391"/>
      <c r="F147" s="391"/>
      <c r="G147" s="391"/>
      <c r="H147" s="391"/>
      <c r="I147" s="391"/>
      <c r="J147" s="391"/>
      <c r="K147" s="391"/>
      <c r="L147" s="391"/>
      <c r="M147" s="461"/>
      <c r="N147" s="591"/>
      <c r="O147" s="387"/>
    </row>
    <row r="148" spans="1:16" x14ac:dyDescent="0.3">
      <c r="A148" s="504"/>
      <c r="B148" s="505" t="s">
        <v>188</v>
      </c>
      <c r="C148" s="506"/>
      <c r="D148" s="506"/>
      <c r="E148" s="505"/>
      <c r="F148" s="505"/>
      <c r="G148" s="505"/>
      <c r="H148" s="505"/>
      <c r="I148" s="505"/>
      <c r="J148" s="505"/>
      <c r="K148" s="505"/>
      <c r="L148" s="505"/>
      <c r="M148" s="507">
        <f>+M62+M72+M73</f>
        <v>36336</v>
      </c>
      <c r="N148" s="508"/>
      <c r="O148" s="387"/>
      <c r="P148" s="472"/>
    </row>
    <row r="149" spans="1:16" x14ac:dyDescent="0.3">
      <c r="A149" s="412"/>
      <c r="B149" s="413" t="s">
        <v>80</v>
      </c>
      <c r="C149" s="419"/>
      <c r="D149" s="419"/>
      <c r="E149" s="413"/>
      <c r="F149" s="413"/>
      <c r="G149" s="413"/>
      <c r="H149" s="413"/>
      <c r="I149" s="413"/>
      <c r="J149" s="413"/>
      <c r="K149" s="413"/>
      <c r="L149" s="413"/>
      <c r="M149" s="467">
        <f>M75</f>
        <v>36336</v>
      </c>
      <c r="N149" s="437"/>
      <c r="O149" s="387"/>
    </row>
    <row r="150" spans="1:16" ht="16.2" thickBot="1" x14ac:dyDescent="0.35">
      <c r="A150" s="389"/>
      <c r="B150" s="448"/>
      <c r="C150" s="448"/>
      <c r="D150" s="448"/>
      <c r="E150" s="448"/>
      <c r="F150" s="448"/>
      <c r="G150" s="448"/>
      <c r="H150" s="448"/>
      <c r="I150" s="448"/>
      <c r="J150" s="448"/>
      <c r="K150" s="448"/>
      <c r="L150" s="448"/>
      <c r="M150" s="499"/>
      <c r="N150" s="591"/>
      <c r="O150" s="387"/>
    </row>
    <row r="151" spans="1:16" x14ac:dyDescent="0.3">
      <c r="A151" s="383"/>
      <c r="B151" s="386"/>
      <c r="C151" s="386"/>
      <c r="D151" s="386"/>
      <c r="E151" s="386"/>
      <c r="F151" s="386"/>
      <c r="G151" s="386"/>
      <c r="H151" s="386"/>
      <c r="I151" s="386"/>
      <c r="J151" s="386"/>
      <c r="K151" s="386"/>
      <c r="L151" s="386"/>
      <c r="M151" s="503"/>
      <c r="N151" s="590"/>
      <c r="O151" s="387"/>
    </row>
    <row r="152" spans="1:16" x14ac:dyDescent="0.3">
      <c r="A152" s="389"/>
      <c r="B152" s="498" t="s">
        <v>81</v>
      </c>
      <c r="C152" s="509"/>
      <c r="D152" s="509"/>
      <c r="E152" s="465"/>
      <c r="F152" s="465"/>
      <c r="G152" s="465"/>
      <c r="H152" s="465"/>
      <c r="I152" s="510" t="s">
        <v>127</v>
      </c>
      <c r="J152" s="510"/>
      <c r="K152" s="510" t="s">
        <v>134</v>
      </c>
      <c r="L152" s="393"/>
      <c r="M152" s="511" t="s">
        <v>144</v>
      </c>
      <c r="N152" s="596"/>
      <c r="O152" s="387"/>
    </row>
    <row r="153" spans="1:16" x14ac:dyDescent="0.3">
      <c r="A153" s="412"/>
      <c r="B153" s="413" t="s">
        <v>82</v>
      </c>
      <c r="C153" s="413"/>
      <c r="D153" s="413"/>
      <c r="E153" s="413"/>
      <c r="F153" s="413"/>
      <c r="G153" s="413"/>
      <c r="H153" s="413"/>
      <c r="I153" s="467">
        <v>15000</v>
      </c>
      <c r="J153" s="413"/>
      <c r="K153" s="512">
        <v>5000</v>
      </c>
      <c r="L153" s="413"/>
      <c r="M153" s="467">
        <v>15000</v>
      </c>
      <c r="N153" s="417"/>
      <c r="O153" s="387"/>
    </row>
    <row r="154" spans="1:16" x14ac:dyDescent="0.3">
      <c r="A154" s="412"/>
      <c r="B154" s="413" t="s">
        <v>83</v>
      </c>
      <c r="C154" s="413"/>
      <c r="D154" s="413"/>
      <c r="E154" s="413"/>
      <c r="F154" s="413"/>
      <c r="G154" s="413"/>
      <c r="H154" s="413"/>
      <c r="I154" s="467">
        <f>+'Jan 18'!I156</f>
        <v>7636</v>
      </c>
      <c r="J154" s="413"/>
      <c r="K154" s="467">
        <f>+'Oct 17'!K156</f>
        <v>0</v>
      </c>
      <c r="L154" s="413"/>
      <c r="M154" s="467">
        <f>K154+I154</f>
        <v>7636</v>
      </c>
      <c r="N154" s="417"/>
      <c r="O154" s="387"/>
    </row>
    <row r="155" spans="1:16" x14ac:dyDescent="0.3">
      <c r="A155" s="412"/>
      <c r="B155" s="413" t="s">
        <v>84</v>
      </c>
      <c r="C155" s="413"/>
      <c r="D155" s="413"/>
      <c r="E155" s="413"/>
      <c r="F155" s="413"/>
      <c r="G155" s="413"/>
      <c r="H155" s="413"/>
      <c r="I155" s="466">
        <v>0</v>
      </c>
      <c r="J155" s="413"/>
      <c r="K155" s="413">
        <v>0</v>
      </c>
      <c r="L155" s="413"/>
      <c r="M155" s="467">
        <f>K155+I155</f>
        <v>0</v>
      </c>
      <c r="N155" s="417"/>
      <c r="O155" s="387"/>
    </row>
    <row r="156" spans="1:16" x14ac:dyDescent="0.3">
      <c r="A156" s="412"/>
      <c r="B156" s="413" t="s">
        <v>85</v>
      </c>
      <c r="C156" s="413"/>
      <c r="D156" s="413"/>
      <c r="E156" s="413"/>
      <c r="F156" s="413"/>
      <c r="G156" s="413"/>
      <c r="H156" s="413"/>
      <c r="I156" s="467">
        <f>I154+I155</f>
        <v>7636</v>
      </c>
      <c r="J156" s="413"/>
      <c r="K156" s="467">
        <f>K155+K154</f>
        <v>0</v>
      </c>
      <c r="L156" s="413"/>
      <c r="M156" s="467">
        <f>K156+I156</f>
        <v>7636</v>
      </c>
      <c r="N156" s="417"/>
      <c r="O156" s="387"/>
    </row>
    <row r="157" spans="1:16" x14ac:dyDescent="0.3">
      <c r="A157" s="412"/>
      <c r="B157" s="413" t="s">
        <v>86</v>
      </c>
      <c r="C157" s="413"/>
      <c r="D157" s="413"/>
      <c r="E157" s="413"/>
      <c r="F157" s="413"/>
      <c r="G157" s="413"/>
      <c r="H157" s="413"/>
      <c r="I157" s="467">
        <f>I153-I156-K156</f>
        <v>7364</v>
      </c>
      <c r="J157" s="413"/>
      <c r="K157" s="441">
        <v>0</v>
      </c>
      <c r="L157" s="413"/>
      <c r="M157" s="467"/>
      <c r="N157" s="417"/>
      <c r="O157" s="387"/>
    </row>
    <row r="158" spans="1:16" ht="16.2" thickBot="1" x14ac:dyDescent="0.35">
      <c r="A158" s="389"/>
      <c r="B158" s="448"/>
      <c r="C158" s="448"/>
      <c r="D158" s="448"/>
      <c r="E158" s="448"/>
      <c r="F158" s="448"/>
      <c r="G158" s="448"/>
      <c r="H158" s="448"/>
      <c r="I158" s="448"/>
      <c r="J158" s="448"/>
      <c r="K158" s="448"/>
      <c r="L158" s="448"/>
      <c r="M158" s="499"/>
      <c r="N158" s="591"/>
      <c r="O158" s="387"/>
    </row>
    <row r="159" spans="1:16" x14ac:dyDescent="0.3">
      <c r="A159" s="383"/>
      <c r="B159" s="386"/>
      <c r="C159" s="386"/>
      <c r="D159" s="386"/>
      <c r="E159" s="386"/>
      <c r="F159" s="386"/>
      <c r="G159" s="386"/>
      <c r="H159" s="386"/>
      <c r="I159" s="386"/>
      <c r="J159" s="386"/>
      <c r="K159" s="386"/>
      <c r="L159" s="386"/>
      <c r="M159" s="503"/>
      <c r="N159" s="590"/>
      <c r="O159" s="387"/>
    </row>
    <row r="160" spans="1:16" x14ac:dyDescent="0.3">
      <c r="A160" s="389"/>
      <c r="B160" s="498" t="s">
        <v>87</v>
      </c>
      <c r="C160" s="399"/>
      <c r="D160" s="399"/>
      <c r="E160" s="391"/>
      <c r="F160" s="391"/>
      <c r="G160" s="391"/>
      <c r="H160" s="391"/>
      <c r="I160" s="391"/>
      <c r="J160" s="391"/>
      <c r="K160" s="391"/>
      <c r="L160" s="391"/>
      <c r="M160" s="513"/>
      <c r="N160" s="591"/>
      <c r="O160" s="387"/>
    </row>
    <row r="161" spans="1:15" x14ac:dyDescent="0.3">
      <c r="A161" s="412"/>
      <c r="B161" s="413" t="s">
        <v>88</v>
      </c>
      <c r="C161" s="413"/>
      <c r="D161" s="413"/>
      <c r="E161" s="413"/>
      <c r="F161" s="413"/>
      <c r="G161" s="413"/>
      <c r="H161" s="413"/>
      <c r="I161" s="413"/>
      <c r="J161" s="413"/>
      <c r="K161" s="413"/>
      <c r="L161" s="413"/>
      <c r="M161" s="514">
        <f>(M87+M89+M90+M91+M92)/-M93</f>
        <v>17</v>
      </c>
      <c r="N161" s="437" t="s">
        <v>145</v>
      </c>
      <c r="O161" s="387"/>
    </row>
    <row r="162" spans="1:15" x14ac:dyDescent="0.3">
      <c r="A162" s="412"/>
      <c r="B162" s="413" t="s">
        <v>89</v>
      </c>
      <c r="C162" s="413"/>
      <c r="D162" s="413"/>
      <c r="E162" s="413"/>
      <c r="F162" s="413"/>
      <c r="G162" s="413"/>
      <c r="H162" s="413"/>
      <c r="I162" s="413"/>
      <c r="J162" s="413"/>
      <c r="K162" s="413"/>
      <c r="L162" s="413"/>
      <c r="M162" s="515">
        <v>3.88</v>
      </c>
      <c r="N162" s="437" t="s">
        <v>145</v>
      </c>
      <c r="O162" s="387"/>
    </row>
    <row r="163" spans="1:15" x14ac:dyDescent="0.3">
      <c r="A163" s="412"/>
      <c r="B163" s="413" t="s">
        <v>90</v>
      </c>
      <c r="C163" s="413"/>
      <c r="D163" s="413"/>
      <c r="E163" s="413"/>
      <c r="F163" s="413"/>
      <c r="G163" s="413"/>
      <c r="H163" s="413"/>
      <c r="I163" s="413"/>
      <c r="J163" s="413"/>
      <c r="K163" s="413"/>
      <c r="L163" s="413"/>
      <c r="M163" s="514">
        <f>(M87+M89+M90+M91+M92+M93)/-M94</f>
        <v>14.222222222222221</v>
      </c>
      <c r="N163" s="437" t="s">
        <v>145</v>
      </c>
      <c r="O163" s="387"/>
    </row>
    <row r="164" spans="1:15" x14ac:dyDescent="0.3">
      <c r="A164" s="412"/>
      <c r="B164" s="413" t="s">
        <v>91</v>
      </c>
      <c r="C164" s="413"/>
      <c r="D164" s="413"/>
      <c r="E164" s="413"/>
      <c r="F164" s="413"/>
      <c r="G164" s="413"/>
      <c r="H164" s="413"/>
      <c r="I164" s="413"/>
      <c r="J164" s="413"/>
      <c r="K164" s="413"/>
      <c r="L164" s="413"/>
      <c r="M164" s="516">
        <v>10.23</v>
      </c>
      <c r="N164" s="437" t="s">
        <v>145</v>
      </c>
      <c r="O164" s="387"/>
    </row>
    <row r="165" spans="1:15" x14ac:dyDescent="0.3">
      <c r="A165" s="412"/>
      <c r="B165" s="413" t="s">
        <v>181</v>
      </c>
      <c r="C165" s="413"/>
      <c r="D165" s="413"/>
      <c r="E165" s="413"/>
      <c r="F165" s="413"/>
      <c r="G165" s="413"/>
      <c r="H165" s="413"/>
      <c r="I165" s="413"/>
      <c r="J165" s="413"/>
      <c r="K165" s="413"/>
      <c r="L165" s="413"/>
      <c r="M165" s="514">
        <f>(M87+M89+M90+M91+M92+M93+M94)/-M95</f>
        <v>16.604651162790699</v>
      </c>
      <c r="N165" s="437" t="s">
        <v>145</v>
      </c>
      <c r="O165" s="387"/>
    </row>
    <row r="166" spans="1:15" x14ac:dyDescent="0.3">
      <c r="A166" s="412"/>
      <c r="B166" s="413" t="s">
        <v>182</v>
      </c>
      <c r="C166" s="413"/>
      <c r="D166" s="413"/>
      <c r="E166" s="413"/>
      <c r="F166" s="413"/>
      <c r="G166" s="413"/>
      <c r="H166" s="413"/>
      <c r="I166" s="413"/>
      <c r="J166" s="413"/>
      <c r="K166" s="413"/>
      <c r="L166" s="413"/>
      <c r="M166" s="516">
        <v>12.99</v>
      </c>
      <c r="N166" s="437" t="s">
        <v>145</v>
      </c>
      <c r="O166" s="387"/>
    </row>
    <row r="167" spans="1:15" x14ac:dyDescent="0.3">
      <c r="A167" s="412"/>
      <c r="B167" s="416"/>
      <c r="C167" s="416"/>
      <c r="D167" s="416"/>
      <c r="E167" s="416"/>
      <c r="F167" s="416"/>
      <c r="G167" s="416"/>
      <c r="H167" s="416"/>
      <c r="I167" s="416"/>
      <c r="J167" s="416"/>
      <c r="K167" s="416"/>
      <c r="L167" s="416"/>
      <c r="M167" s="416"/>
      <c r="N167" s="417"/>
      <c r="O167" s="387"/>
    </row>
    <row r="168" spans="1:15" x14ac:dyDescent="0.3">
      <c r="A168" s="389"/>
      <c r="B168" s="448"/>
      <c r="C168" s="448"/>
      <c r="D168" s="448"/>
      <c r="E168" s="448"/>
      <c r="F168" s="448"/>
      <c r="G168" s="448"/>
      <c r="H168" s="448"/>
      <c r="I168" s="448"/>
      <c r="J168" s="448"/>
      <c r="K168" s="448"/>
      <c r="L168" s="448"/>
      <c r="M168" s="448"/>
      <c r="N168" s="591"/>
      <c r="O168" s="387"/>
    </row>
    <row r="169" spans="1:15" x14ac:dyDescent="0.3">
      <c r="A169" s="389"/>
      <c r="B169" s="391"/>
      <c r="C169" s="391"/>
      <c r="D169" s="391"/>
      <c r="E169" s="391"/>
      <c r="F169" s="391"/>
      <c r="G169" s="391"/>
      <c r="H169" s="391"/>
      <c r="I169" s="391"/>
      <c r="J169" s="391"/>
      <c r="K169" s="391"/>
      <c r="L169" s="391"/>
      <c r="M169" s="391"/>
      <c r="N169" s="591"/>
      <c r="O169" s="387"/>
    </row>
    <row r="170" spans="1:15" ht="18.600000000000001" thickBot="1" x14ac:dyDescent="0.4">
      <c r="A170" s="453"/>
      <c r="B170" s="454" t="str">
        <f>B114</f>
        <v>PSF1 INVESTOR REPORT QUARTER ENDING APRIL 2018</v>
      </c>
      <c r="C170" s="455"/>
      <c r="D170" s="455"/>
      <c r="E170" s="455"/>
      <c r="F170" s="455"/>
      <c r="G170" s="455"/>
      <c r="H170" s="455"/>
      <c r="I170" s="455"/>
      <c r="J170" s="455"/>
      <c r="K170" s="455"/>
      <c r="L170" s="455"/>
      <c r="M170" s="455"/>
      <c r="N170" s="457"/>
      <c r="O170" s="387"/>
    </row>
    <row r="171" spans="1:15" x14ac:dyDescent="0.3">
      <c r="A171" s="517"/>
      <c r="B171" s="493" t="s">
        <v>92</v>
      </c>
      <c r="C171" s="518"/>
      <c r="D171" s="518"/>
      <c r="E171" s="518"/>
      <c r="F171" s="518"/>
      <c r="G171" s="518"/>
      <c r="H171" s="519"/>
      <c r="I171" s="519"/>
      <c r="J171" s="519"/>
      <c r="K171" s="519">
        <v>43220</v>
      </c>
      <c r="L171" s="520"/>
      <c r="M171" s="520"/>
      <c r="N171" s="597"/>
      <c r="O171" s="387"/>
    </row>
    <row r="172" spans="1:15" x14ac:dyDescent="0.3">
      <c r="A172" s="521"/>
      <c r="B172" s="522"/>
      <c r="C172" s="523"/>
      <c r="D172" s="523"/>
      <c r="E172" s="523"/>
      <c r="F172" s="523"/>
      <c r="G172" s="523"/>
      <c r="H172" s="524"/>
      <c r="I172" s="524"/>
      <c r="J172" s="524"/>
      <c r="K172" s="524"/>
      <c r="L172" s="391"/>
      <c r="M172" s="391"/>
      <c r="N172" s="591"/>
      <c r="O172" s="387"/>
    </row>
    <row r="173" spans="1:15" x14ac:dyDescent="0.3">
      <c r="A173" s="525"/>
      <c r="B173" s="413" t="s">
        <v>93</v>
      </c>
      <c r="C173" s="526"/>
      <c r="D173" s="526"/>
      <c r="E173" s="526"/>
      <c r="F173" s="526"/>
      <c r="G173" s="526"/>
      <c r="H173" s="444"/>
      <c r="I173" s="444"/>
      <c r="J173" s="444"/>
      <c r="K173" s="439">
        <v>9.4600000000000004E-2</v>
      </c>
      <c r="L173" s="413"/>
      <c r="M173" s="424"/>
      <c r="N173" s="437"/>
      <c r="O173" s="387"/>
    </row>
    <row r="174" spans="1:15" x14ac:dyDescent="0.3">
      <c r="A174" s="525"/>
      <c r="B174" s="413" t="s">
        <v>94</v>
      </c>
      <c r="C174" s="526"/>
      <c r="D174" s="526"/>
      <c r="E174" s="526"/>
      <c r="F174" s="526"/>
      <c r="G174" s="526"/>
      <c r="H174" s="444"/>
      <c r="I174" s="444"/>
      <c r="J174" s="444"/>
      <c r="K174" s="439">
        <v>5.2327499999999992E-2</v>
      </c>
      <c r="L174" s="413"/>
      <c r="M174" s="424"/>
      <c r="N174" s="437"/>
      <c r="O174" s="387"/>
    </row>
    <row r="175" spans="1:15" x14ac:dyDescent="0.3">
      <c r="A175" s="525"/>
      <c r="B175" s="413" t="s">
        <v>95</v>
      </c>
      <c r="C175" s="526"/>
      <c r="D175" s="526"/>
      <c r="E175" s="526"/>
      <c r="F175" s="526"/>
      <c r="G175" s="526"/>
      <c r="H175" s="444"/>
      <c r="I175" s="444"/>
      <c r="J175" s="444"/>
      <c r="K175" s="439">
        <f>K173-K174</f>
        <v>4.2272500000000011E-2</v>
      </c>
      <c r="L175" s="413"/>
      <c r="M175" s="424"/>
      <c r="N175" s="437"/>
      <c r="O175" s="387"/>
    </row>
    <row r="176" spans="1:15" x14ac:dyDescent="0.3">
      <c r="A176" s="525"/>
      <c r="B176" s="413" t="s">
        <v>96</v>
      </c>
      <c r="C176" s="526"/>
      <c r="D176" s="526"/>
      <c r="E176" s="526"/>
      <c r="F176" s="526"/>
      <c r="G176" s="526"/>
      <c r="H176" s="444"/>
      <c r="I176" s="444"/>
      <c r="J176" s="444"/>
      <c r="K176" s="439">
        <v>9.4500000000000001E-2</v>
      </c>
      <c r="L176" s="413"/>
      <c r="M176" s="424"/>
      <c r="N176" s="437"/>
      <c r="O176" s="387"/>
    </row>
    <row r="177" spans="1:15" x14ac:dyDescent="0.3">
      <c r="A177" s="525"/>
      <c r="B177" s="413" t="s">
        <v>97</v>
      </c>
      <c r="C177" s="526"/>
      <c r="D177" s="526"/>
      <c r="E177" s="526"/>
      <c r="F177" s="526"/>
      <c r="G177" s="526"/>
      <c r="H177" s="444"/>
      <c r="I177" s="444"/>
      <c r="J177" s="444"/>
      <c r="K177" s="439">
        <f>M36</f>
        <v>1.54391871029453E-2</v>
      </c>
      <c r="L177" s="413"/>
      <c r="M177" s="424"/>
      <c r="N177" s="437"/>
      <c r="O177" s="387"/>
    </row>
    <row r="178" spans="1:15" x14ac:dyDescent="0.3">
      <c r="A178" s="525"/>
      <c r="B178" s="413" t="s">
        <v>98</v>
      </c>
      <c r="C178" s="526"/>
      <c r="D178" s="526"/>
      <c r="E178" s="526"/>
      <c r="F178" s="526"/>
      <c r="G178" s="526"/>
      <c r="H178" s="444"/>
      <c r="I178" s="444"/>
      <c r="J178" s="444"/>
      <c r="K178" s="439">
        <f>K176-K177</f>
        <v>7.9060812897054702E-2</v>
      </c>
      <c r="L178" s="413"/>
      <c r="M178" s="424"/>
      <c r="N178" s="437"/>
      <c r="O178" s="387"/>
    </row>
    <row r="179" spans="1:15" x14ac:dyDescent="0.3">
      <c r="A179" s="525"/>
      <c r="B179" s="413" t="s">
        <v>211</v>
      </c>
      <c r="C179" s="526"/>
      <c r="D179" s="526"/>
      <c r="E179" s="526"/>
      <c r="F179" s="526"/>
      <c r="G179" s="526"/>
      <c r="H179" s="444"/>
      <c r="I179" s="444"/>
      <c r="J179" s="444"/>
      <c r="K179" s="439">
        <f>(+M87+M89)/E58</f>
        <v>2.2039285156046477E-2</v>
      </c>
      <c r="L179" s="413"/>
      <c r="M179" s="424"/>
      <c r="N179" s="437"/>
      <c r="O179" s="387"/>
    </row>
    <row r="180" spans="1:15" x14ac:dyDescent="0.3">
      <c r="A180" s="525"/>
      <c r="B180" s="413" t="s">
        <v>99</v>
      </c>
      <c r="C180" s="526"/>
      <c r="D180" s="526"/>
      <c r="E180" s="526"/>
      <c r="F180" s="526"/>
      <c r="G180" s="526"/>
      <c r="H180" s="444"/>
      <c r="I180" s="444"/>
      <c r="J180" s="444"/>
      <c r="K180" s="527">
        <v>49628</v>
      </c>
      <c r="L180" s="413"/>
      <c r="M180" s="424"/>
      <c r="N180" s="437"/>
      <c r="O180" s="387"/>
    </row>
    <row r="181" spans="1:15" x14ac:dyDescent="0.3">
      <c r="A181" s="525"/>
      <c r="B181" s="413" t="s">
        <v>100</v>
      </c>
      <c r="C181" s="526"/>
      <c r="D181" s="526"/>
      <c r="E181" s="526"/>
      <c r="F181" s="526"/>
      <c r="G181" s="526"/>
      <c r="H181" s="444"/>
      <c r="I181" s="444"/>
      <c r="J181" s="444"/>
      <c r="K181" s="527">
        <v>49628</v>
      </c>
      <c r="L181" s="413"/>
      <c r="M181" s="424"/>
      <c r="N181" s="437"/>
      <c r="O181" s="387"/>
    </row>
    <row r="182" spans="1:15" x14ac:dyDescent="0.3">
      <c r="A182" s="525"/>
      <c r="B182" s="413" t="s">
        <v>165</v>
      </c>
      <c r="C182" s="526"/>
      <c r="D182" s="526"/>
      <c r="E182" s="526"/>
      <c r="F182" s="526"/>
      <c r="G182" s="526"/>
      <c r="H182" s="444"/>
      <c r="I182" s="444"/>
      <c r="J182" s="444"/>
      <c r="K182" s="527">
        <v>49628</v>
      </c>
      <c r="L182" s="413"/>
      <c r="M182" s="424"/>
      <c r="N182" s="437"/>
      <c r="O182" s="387"/>
    </row>
    <row r="183" spans="1:15" x14ac:dyDescent="0.3">
      <c r="A183" s="525"/>
      <c r="B183" s="413" t="s">
        <v>101</v>
      </c>
      <c r="C183" s="526"/>
      <c r="D183" s="526"/>
      <c r="E183" s="526"/>
      <c r="F183" s="526"/>
      <c r="G183" s="526"/>
      <c r="H183" s="444"/>
      <c r="I183" s="444"/>
      <c r="J183" s="444"/>
      <c r="K183" s="443">
        <v>15.78</v>
      </c>
      <c r="L183" s="413" t="s">
        <v>139</v>
      </c>
      <c r="M183" s="424"/>
      <c r="N183" s="437"/>
      <c r="O183" s="387"/>
    </row>
    <row r="184" spans="1:15" x14ac:dyDescent="0.3">
      <c r="A184" s="525"/>
      <c r="B184" s="413" t="s">
        <v>102</v>
      </c>
      <c r="C184" s="526"/>
      <c r="D184" s="526"/>
      <c r="E184" s="526"/>
      <c r="F184" s="526"/>
      <c r="G184" s="526"/>
      <c r="H184" s="444"/>
      <c r="I184" s="444"/>
      <c r="J184" s="444"/>
      <c r="K184" s="443">
        <v>9.8699999999999992</v>
      </c>
      <c r="L184" s="413" t="s">
        <v>139</v>
      </c>
      <c r="M184" s="424"/>
      <c r="N184" s="437"/>
      <c r="O184" s="387"/>
    </row>
    <row r="185" spans="1:15" x14ac:dyDescent="0.3">
      <c r="A185" s="525"/>
      <c r="B185" s="413" t="s">
        <v>103</v>
      </c>
      <c r="C185" s="526"/>
      <c r="D185" s="526"/>
      <c r="E185" s="526"/>
      <c r="F185" s="526"/>
      <c r="G185" s="526"/>
      <c r="H185" s="444"/>
      <c r="I185" s="444"/>
      <c r="J185" s="444"/>
      <c r="K185" s="439">
        <f>K80/E58</f>
        <v>6.0152138800604389E-2</v>
      </c>
      <c r="L185" s="413"/>
      <c r="M185" s="424"/>
      <c r="N185" s="437"/>
      <c r="O185" s="387"/>
    </row>
    <row r="186" spans="1:15" x14ac:dyDescent="0.3">
      <c r="A186" s="525"/>
      <c r="B186" s="413" t="s">
        <v>104</v>
      </c>
      <c r="C186" s="526"/>
      <c r="D186" s="526"/>
      <c r="E186" s="526"/>
      <c r="F186" s="526"/>
      <c r="G186" s="526"/>
      <c r="H186" s="444"/>
      <c r="I186" s="444"/>
      <c r="J186" s="444"/>
      <c r="K186" s="439">
        <v>0.2235</v>
      </c>
      <c r="L186" s="413"/>
      <c r="M186" s="424"/>
      <c r="N186" s="437"/>
      <c r="O186" s="387"/>
    </row>
    <row r="187" spans="1:15" x14ac:dyDescent="0.3">
      <c r="A187" s="521"/>
      <c r="B187" s="475"/>
      <c r="C187" s="475"/>
      <c r="D187" s="475"/>
      <c r="E187" s="475"/>
      <c r="F187" s="475"/>
      <c r="G187" s="475"/>
      <c r="H187" s="475"/>
      <c r="I187" s="475"/>
      <c r="J187" s="475"/>
      <c r="K187" s="528"/>
      <c r="L187" s="475"/>
      <c r="M187" s="529"/>
      <c r="N187" s="594"/>
      <c r="O187" s="387"/>
    </row>
    <row r="188" spans="1:15" x14ac:dyDescent="0.3">
      <c r="A188" s="530"/>
      <c r="B188" s="583" t="s">
        <v>105</v>
      </c>
      <c r="C188" s="584"/>
      <c r="D188" s="584"/>
      <c r="E188" s="585"/>
      <c r="F188" s="584"/>
      <c r="G188" s="585"/>
      <c r="H188" s="584"/>
      <c r="I188" s="585"/>
      <c r="J188" s="584" t="s">
        <v>128</v>
      </c>
      <c r="K188" s="585" t="s">
        <v>135</v>
      </c>
      <c r="L188" s="576"/>
      <c r="M188" s="576"/>
      <c r="N188" s="579"/>
      <c r="O188" s="387"/>
    </row>
    <row r="189" spans="1:15" x14ac:dyDescent="0.3">
      <c r="A189" s="548"/>
      <c r="B189" s="473" t="s">
        <v>106</v>
      </c>
      <c r="C189" s="474"/>
      <c r="D189" s="474"/>
      <c r="E189" s="474"/>
      <c r="F189" s="474"/>
      <c r="G189" s="473"/>
      <c r="H189" s="473"/>
      <c r="I189" s="473"/>
      <c r="J189" s="580">
        <v>242</v>
      </c>
      <c r="K189" s="581">
        <v>4956</v>
      </c>
      <c r="L189" s="475"/>
      <c r="M189" s="582"/>
      <c r="N189" s="598"/>
      <c r="O189" s="387"/>
    </row>
    <row r="190" spans="1:15" x14ac:dyDescent="0.3">
      <c r="A190" s="531"/>
      <c r="B190" s="413" t="s">
        <v>196</v>
      </c>
      <c r="C190" s="466"/>
      <c r="D190" s="466"/>
      <c r="E190" s="466"/>
      <c r="F190" s="466"/>
      <c r="G190" s="413"/>
      <c r="H190" s="413"/>
      <c r="I190" s="413"/>
      <c r="J190" s="423">
        <v>0</v>
      </c>
      <c r="K190" s="603">
        <v>0</v>
      </c>
      <c r="L190" s="424"/>
      <c r="M190" s="533"/>
      <c r="N190" s="534"/>
      <c r="O190" s="387"/>
    </row>
    <row r="191" spans="1:15" x14ac:dyDescent="0.3">
      <c r="A191" s="531"/>
      <c r="B191" s="431" t="s">
        <v>107</v>
      </c>
      <c r="C191" s="535"/>
      <c r="D191" s="535"/>
      <c r="E191" s="535"/>
      <c r="F191" s="535"/>
      <c r="G191" s="416"/>
      <c r="H191" s="416"/>
      <c r="I191" s="416"/>
      <c r="J191" s="416"/>
      <c r="K191" s="532">
        <v>0</v>
      </c>
      <c r="L191" s="416"/>
      <c r="M191" s="536"/>
      <c r="N191" s="537"/>
      <c r="O191" s="387"/>
    </row>
    <row r="192" spans="1:15" x14ac:dyDescent="0.3">
      <c r="A192" s="531"/>
      <c r="B192" s="431" t="s">
        <v>240</v>
      </c>
      <c r="C192" s="535"/>
      <c r="D192" s="535"/>
      <c r="E192" s="535"/>
      <c r="F192" s="535"/>
      <c r="G192" s="416"/>
      <c r="H192" s="416"/>
      <c r="I192" s="416"/>
      <c r="J192" s="416"/>
      <c r="K192" s="532">
        <f>+I58</f>
        <v>0</v>
      </c>
      <c r="L192" s="416"/>
      <c r="M192" s="536"/>
      <c r="N192" s="537"/>
      <c r="O192" s="387"/>
    </row>
    <row r="193" spans="1:15" x14ac:dyDescent="0.3">
      <c r="A193" s="538"/>
      <c r="B193" s="431" t="s">
        <v>109</v>
      </c>
      <c r="C193" s="535"/>
      <c r="D193" s="535"/>
      <c r="E193" s="539"/>
      <c r="F193" s="539"/>
      <c r="G193" s="539"/>
      <c r="H193" s="416"/>
      <c r="I193" s="416"/>
      <c r="J193" s="416"/>
      <c r="K193" s="540"/>
      <c r="L193" s="416"/>
      <c r="M193" s="536"/>
      <c r="N193" s="541"/>
      <c r="O193" s="387"/>
    </row>
    <row r="194" spans="1:15" x14ac:dyDescent="0.3">
      <c r="A194" s="538"/>
      <c r="B194" s="413" t="s">
        <v>110</v>
      </c>
      <c r="C194" s="466"/>
      <c r="D194" s="466"/>
      <c r="E194" s="413"/>
      <c r="F194" s="413"/>
      <c r="G194" s="413"/>
      <c r="H194" s="413"/>
      <c r="I194" s="413"/>
      <c r="J194" s="413"/>
      <c r="K194" s="532">
        <f>+M141</f>
        <v>-259</v>
      </c>
      <c r="L194" s="424"/>
      <c r="M194" s="536"/>
      <c r="N194" s="541"/>
      <c r="O194" s="387"/>
    </row>
    <row r="195" spans="1:15" x14ac:dyDescent="0.3">
      <c r="A195" s="531"/>
      <c r="B195" s="413" t="s">
        <v>111</v>
      </c>
      <c r="C195" s="466"/>
      <c r="D195" s="466"/>
      <c r="E195" s="466"/>
      <c r="F195" s="466"/>
      <c r="G195" s="466"/>
      <c r="H195" s="413"/>
      <c r="I195" s="413"/>
      <c r="J195" s="413"/>
      <c r="K195" s="532">
        <f>'Jan 18'!K195+'April 18'!K194</f>
        <v>36539</v>
      </c>
      <c r="L195" s="424"/>
      <c r="M195" s="536"/>
      <c r="N195" s="541"/>
      <c r="O195" s="387"/>
    </row>
    <row r="196" spans="1:15" x14ac:dyDescent="0.3">
      <c r="A196" s="531"/>
      <c r="B196" s="413" t="s">
        <v>112</v>
      </c>
      <c r="C196" s="466"/>
      <c r="D196" s="466"/>
      <c r="E196" s="466"/>
      <c r="F196" s="466"/>
      <c r="G196" s="466"/>
      <c r="H196" s="413"/>
      <c r="I196" s="413"/>
      <c r="J196" s="413"/>
      <c r="K196" s="532">
        <f>'Jan 18'!K196+499</f>
        <v>19073</v>
      </c>
      <c r="L196" s="424"/>
      <c r="M196" s="536"/>
      <c r="N196" s="541"/>
      <c r="O196" s="387"/>
    </row>
    <row r="197" spans="1:15" x14ac:dyDescent="0.3">
      <c r="A197" s="538"/>
      <c r="B197" s="431" t="s">
        <v>241</v>
      </c>
      <c r="C197" s="535"/>
      <c r="D197" s="535"/>
      <c r="E197" s="539"/>
      <c r="F197" s="539"/>
      <c r="G197" s="539"/>
      <c r="H197" s="416"/>
      <c r="I197" s="416"/>
      <c r="J197" s="416"/>
      <c r="K197" s="540"/>
      <c r="L197" s="416"/>
      <c r="M197" s="536"/>
      <c r="N197" s="541"/>
      <c r="O197" s="387"/>
    </row>
    <row r="198" spans="1:15" x14ac:dyDescent="0.3">
      <c r="A198" s="538"/>
      <c r="B198" s="413" t="s">
        <v>236</v>
      </c>
      <c r="C198" s="466"/>
      <c r="D198" s="466"/>
      <c r="E198" s="413"/>
      <c r="F198" s="413"/>
      <c r="G198" s="413"/>
      <c r="H198" s="413"/>
      <c r="I198" s="413"/>
      <c r="J198" s="413"/>
      <c r="K198" s="603">
        <v>0</v>
      </c>
      <c r="L198" s="424"/>
      <c r="M198" s="533"/>
      <c r="N198" s="541"/>
      <c r="O198" s="387"/>
    </row>
    <row r="199" spans="1:15" x14ac:dyDescent="0.3">
      <c r="A199" s="531"/>
      <c r="B199" s="413" t="s">
        <v>113</v>
      </c>
      <c r="C199" s="466"/>
      <c r="D199" s="466"/>
      <c r="E199" s="441"/>
      <c r="F199" s="441"/>
      <c r="G199" s="542"/>
      <c r="H199" s="413"/>
      <c r="I199" s="413"/>
      <c r="J199" s="413"/>
      <c r="K199" s="604">
        <v>0</v>
      </c>
      <c r="L199" s="424"/>
      <c r="M199" s="533"/>
      <c r="N199" s="541"/>
      <c r="O199" s="387"/>
    </row>
    <row r="200" spans="1:15" x14ac:dyDescent="0.3">
      <c r="A200" s="531"/>
      <c r="B200" s="413" t="s">
        <v>114</v>
      </c>
      <c r="C200" s="466"/>
      <c r="D200" s="466"/>
      <c r="E200" s="441"/>
      <c r="F200" s="441"/>
      <c r="G200" s="542"/>
      <c r="H200" s="413"/>
      <c r="I200" s="413"/>
      <c r="J200" s="413"/>
      <c r="K200" s="604">
        <v>0</v>
      </c>
      <c r="L200" s="424"/>
      <c r="M200" s="533"/>
      <c r="N200" s="541"/>
      <c r="O200" s="387"/>
    </row>
    <row r="201" spans="1:15" x14ac:dyDescent="0.3">
      <c r="A201" s="531"/>
      <c r="B201" s="539"/>
      <c r="C201" s="535"/>
      <c r="D201" s="535"/>
      <c r="E201" s="543"/>
      <c r="F201" s="544"/>
      <c r="G201" s="545"/>
      <c r="H201" s="416"/>
      <c r="I201" s="416"/>
      <c r="J201" s="416"/>
      <c r="K201" s="546"/>
      <c r="L201" s="416"/>
      <c r="M201" s="536"/>
      <c r="N201" s="541"/>
      <c r="O201" s="387"/>
    </row>
    <row r="202" spans="1:15" ht="18" x14ac:dyDescent="0.35">
      <c r="A202" s="531"/>
      <c r="B202" s="547" t="s">
        <v>200</v>
      </c>
      <c r="C202" s="535"/>
      <c r="D202" s="535"/>
      <c r="E202" s="543"/>
      <c r="F202" s="544"/>
      <c r="G202" s="545"/>
      <c r="H202" s="416"/>
      <c r="I202" s="416"/>
      <c r="J202" s="416"/>
      <c r="K202" s="569" t="s">
        <v>286</v>
      </c>
      <c r="L202" s="416"/>
      <c r="M202" s="536"/>
      <c r="N202" s="541"/>
      <c r="O202" s="387"/>
    </row>
    <row r="203" spans="1:15" x14ac:dyDescent="0.3">
      <c r="A203" s="548"/>
      <c r="B203" s="549"/>
      <c r="C203" s="469"/>
      <c r="D203" s="469"/>
      <c r="E203" s="550"/>
      <c r="F203" s="551"/>
      <c r="G203" s="552"/>
      <c r="H203" s="448"/>
      <c r="I203" s="448"/>
      <c r="J203" s="448"/>
      <c r="K203" s="553"/>
      <c r="L203" s="448"/>
      <c r="M203" s="554"/>
      <c r="N203" s="599"/>
      <c r="O203" s="387"/>
    </row>
    <row r="204" spans="1:15" x14ac:dyDescent="0.3">
      <c r="A204" s="410"/>
      <c r="B204" s="583" t="s">
        <v>115</v>
      </c>
      <c r="C204" s="584"/>
      <c r="D204" s="584"/>
      <c r="E204" s="585"/>
      <c r="F204" s="584"/>
      <c r="G204" s="585"/>
      <c r="H204" s="584"/>
      <c r="I204" s="585" t="s">
        <v>128</v>
      </c>
      <c r="J204" s="584" t="s">
        <v>129</v>
      </c>
      <c r="K204" s="585" t="s">
        <v>137</v>
      </c>
      <c r="L204" s="584" t="s">
        <v>129</v>
      </c>
      <c r="M204" s="576"/>
      <c r="N204" s="589"/>
      <c r="O204" s="387"/>
    </row>
    <row r="205" spans="1:15" x14ac:dyDescent="0.3">
      <c r="A205" s="561"/>
      <c r="B205" s="474" t="s">
        <v>116</v>
      </c>
      <c r="C205" s="586"/>
      <c r="D205" s="586"/>
      <c r="E205" s="474"/>
      <c r="F205" s="586"/>
      <c r="G205" s="473"/>
      <c r="H205" s="586"/>
      <c r="I205" s="474">
        <v>1748</v>
      </c>
      <c r="J205" s="587">
        <f>I205/I213</f>
        <v>0.87839195979899498</v>
      </c>
      <c r="K205" s="563">
        <v>31380</v>
      </c>
      <c r="L205" s="587">
        <f>K205/K213</f>
        <v>0.86360634081902243</v>
      </c>
      <c r="M205" s="588"/>
      <c r="N205" s="600"/>
      <c r="O205" s="387"/>
    </row>
    <row r="206" spans="1:15" x14ac:dyDescent="0.3">
      <c r="A206" s="555"/>
      <c r="B206" s="466" t="s">
        <v>117</v>
      </c>
      <c r="C206" s="556"/>
      <c r="D206" s="556"/>
      <c r="E206" s="466"/>
      <c r="F206" s="556"/>
      <c r="G206" s="413"/>
      <c r="H206" s="557"/>
      <c r="I206" s="466">
        <v>45</v>
      </c>
      <c r="J206" s="557">
        <f>I206/I213</f>
        <v>2.2613065326633167E-2</v>
      </c>
      <c r="K206" s="467">
        <v>850</v>
      </c>
      <c r="L206" s="557">
        <f>K206/K213</f>
        <v>2.339277851166887E-2</v>
      </c>
      <c r="M206" s="558"/>
      <c r="N206" s="534"/>
      <c r="O206" s="387"/>
    </row>
    <row r="207" spans="1:15" x14ac:dyDescent="0.3">
      <c r="A207" s="555"/>
      <c r="B207" s="466" t="s">
        <v>118</v>
      </c>
      <c r="C207" s="556"/>
      <c r="D207" s="556"/>
      <c r="E207" s="466"/>
      <c r="F207" s="556"/>
      <c r="G207" s="466"/>
      <c r="H207" s="557"/>
      <c r="I207" s="466">
        <v>32</v>
      </c>
      <c r="J207" s="557">
        <f>I207/I213</f>
        <v>1.6080402010050253E-2</v>
      </c>
      <c r="K207" s="467">
        <v>562</v>
      </c>
      <c r="L207" s="557">
        <f>K207/K213</f>
        <v>1.5466754733597534E-2</v>
      </c>
      <c r="M207" s="559"/>
      <c r="N207" s="534"/>
      <c r="O207" s="387"/>
    </row>
    <row r="208" spans="1:15" x14ac:dyDescent="0.3">
      <c r="A208" s="555"/>
      <c r="B208" s="466" t="s">
        <v>167</v>
      </c>
      <c r="C208" s="556"/>
      <c r="D208" s="556"/>
      <c r="E208" s="466"/>
      <c r="F208" s="556"/>
      <c r="G208" s="466"/>
      <c r="H208" s="557"/>
      <c r="I208" s="466">
        <v>30</v>
      </c>
      <c r="J208" s="557">
        <f>I208/I213</f>
        <v>1.507537688442211E-2</v>
      </c>
      <c r="K208" s="467">
        <v>539</v>
      </c>
      <c r="L208" s="557">
        <f>K208/K213</f>
        <v>1.483377366798767E-2</v>
      </c>
      <c r="M208" s="559"/>
      <c r="N208" s="534"/>
      <c r="O208" s="387"/>
    </row>
    <row r="209" spans="1:15" x14ac:dyDescent="0.3">
      <c r="A209" s="555"/>
      <c r="B209" s="466" t="s">
        <v>168</v>
      </c>
      <c r="C209" s="556"/>
      <c r="D209" s="556"/>
      <c r="E209" s="466"/>
      <c r="F209" s="556"/>
      <c r="G209" s="413"/>
      <c r="H209" s="557"/>
      <c r="I209" s="466">
        <v>20</v>
      </c>
      <c r="J209" s="557">
        <f>I209/I213</f>
        <v>1.0050251256281407E-2</v>
      </c>
      <c r="K209" s="467">
        <v>521</v>
      </c>
      <c r="L209" s="557">
        <f>K209/K213</f>
        <v>1.4338397181858212E-2</v>
      </c>
      <c r="M209" s="559"/>
      <c r="N209" s="534"/>
      <c r="O209" s="387"/>
    </row>
    <row r="210" spans="1:15" x14ac:dyDescent="0.3">
      <c r="A210" s="555"/>
      <c r="B210" s="466" t="s">
        <v>169</v>
      </c>
      <c r="C210" s="556"/>
      <c r="D210" s="556"/>
      <c r="E210" s="466"/>
      <c r="F210" s="556"/>
      <c r="G210" s="413"/>
      <c r="H210" s="557"/>
      <c r="I210" s="466">
        <v>19</v>
      </c>
      <c r="J210" s="557">
        <f>I210/I213</f>
        <v>9.5477386934673374E-3</v>
      </c>
      <c r="K210" s="467">
        <v>366</v>
      </c>
      <c r="L210" s="557">
        <f>K210/K213</f>
        <v>1.0072655217965654E-2</v>
      </c>
      <c r="M210" s="559"/>
      <c r="N210" s="560"/>
      <c r="O210" s="387"/>
    </row>
    <row r="211" spans="1:15" x14ac:dyDescent="0.3">
      <c r="A211" s="555"/>
      <c r="B211" s="466" t="s">
        <v>176</v>
      </c>
      <c r="C211" s="556"/>
      <c r="D211" s="556"/>
      <c r="E211" s="466"/>
      <c r="F211" s="556"/>
      <c r="G211" s="413"/>
      <c r="H211" s="557"/>
      <c r="I211" s="466">
        <v>52</v>
      </c>
      <c r="J211" s="557">
        <f>I211/I213</f>
        <v>2.6130653266331658E-2</v>
      </c>
      <c r="K211" s="467">
        <v>985</v>
      </c>
      <c r="L211" s="557">
        <f>K211/K213</f>
        <v>2.7108102157639806E-2</v>
      </c>
      <c r="M211" s="558"/>
      <c r="N211" s="534"/>
      <c r="O211" s="387"/>
    </row>
    <row r="212" spans="1:15" x14ac:dyDescent="0.3">
      <c r="A212" s="555"/>
      <c r="B212" s="466" t="s">
        <v>202</v>
      </c>
      <c r="C212" s="556"/>
      <c r="D212" s="556"/>
      <c r="E212" s="466"/>
      <c r="F212" s="556"/>
      <c r="G212" s="413"/>
      <c r="H212" s="557"/>
      <c r="I212" s="466">
        <v>44</v>
      </c>
      <c r="J212" s="557">
        <f>+I212/I213</f>
        <v>2.2110552763819097E-2</v>
      </c>
      <c r="K212" s="467">
        <v>1133</v>
      </c>
      <c r="L212" s="557">
        <f>+K212/K213</f>
        <v>3.1181197710259796E-2</v>
      </c>
      <c r="M212" s="558"/>
      <c r="N212" s="534"/>
      <c r="O212" s="387"/>
    </row>
    <row r="213" spans="1:15" x14ac:dyDescent="0.3">
      <c r="A213" s="555"/>
      <c r="B213" s="413" t="s">
        <v>189</v>
      </c>
      <c r="C213" s="413"/>
      <c r="D213" s="413"/>
      <c r="E213" s="413"/>
      <c r="F213" s="413"/>
      <c r="G213" s="466"/>
      <c r="H213" s="413"/>
      <c r="I213" s="466">
        <f>SUM(I205:I212)</f>
        <v>1990</v>
      </c>
      <c r="J213" s="557">
        <f>SUM(J205:J212)</f>
        <v>1</v>
      </c>
      <c r="K213" s="467">
        <f>SUM(K205:K212)</f>
        <v>36336</v>
      </c>
      <c r="L213" s="557">
        <f>SUM(L205:L212)</f>
        <v>1</v>
      </c>
      <c r="M213" s="413"/>
      <c r="N213" s="437"/>
      <c r="O213" s="387"/>
    </row>
    <row r="214" spans="1:15" x14ac:dyDescent="0.3">
      <c r="A214" s="555"/>
      <c r="B214" s="466" t="s">
        <v>170</v>
      </c>
      <c r="C214" s="556"/>
      <c r="D214" s="556"/>
      <c r="E214" s="466"/>
      <c r="F214" s="556"/>
      <c r="G214" s="466"/>
      <c r="H214" s="557"/>
      <c r="I214" s="466">
        <v>254</v>
      </c>
      <c r="J214" s="557"/>
      <c r="K214" s="467">
        <v>6615</v>
      </c>
      <c r="L214" s="557"/>
      <c r="M214" s="413"/>
      <c r="N214" s="437"/>
      <c r="O214" s="387"/>
    </row>
    <row r="215" spans="1:15" x14ac:dyDescent="0.3">
      <c r="A215" s="555"/>
      <c r="B215" s="413"/>
      <c r="C215" s="413"/>
      <c r="D215" s="413"/>
      <c r="E215" s="413"/>
      <c r="F215" s="413"/>
      <c r="G215" s="413"/>
      <c r="H215" s="466"/>
      <c r="I215" s="466"/>
      <c r="J215" s="557"/>
      <c r="K215" s="467"/>
      <c r="L215" s="557"/>
      <c r="M215" s="413"/>
      <c r="N215" s="437"/>
      <c r="O215" s="387"/>
    </row>
    <row r="216" spans="1:15" x14ac:dyDescent="0.3">
      <c r="A216" s="555"/>
      <c r="B216" s="413" t="s">
        <v>232</v>
      </c>
      <c r="C216" s="413"/>
      <c r="D216" s="413"/>
      <c r="E216" s="413"/>
      <c r="F216" s="413"/>
      <c r="G216" s="413"/>
      <c r="H216" s="413"/>
      <c r="I216" s="466"/>
      <c r="J216" s="602">
        <v>1.2167465676990574</v>
      </c>
      <c r="K216" s="467"/>
      <c r="L216" s="557"/>
      <c r="M216" s="413"/>
      <c r="N216" s="437"/>
      <c r="O216" s="387"/>
    </row>
    <row r="217" spans="1:15" x14ac:dyDescent="0.3">
      <c r="A217" s="561"/>
      <c r="B217" s="473"/>
      <c r="C217" s="473"/>
      <c r="D217" s="473"/>
      <c r="E217" s="473"/>
      <c r="F217" s="473"/>
      <c r="G217" s="473"/>
      <c r="H217" s="473"/>
      <c r="I217" s="474"/>
      <c r="J217" s="562"/>
      <c r="K217" s="563"/>
      <c r="L217" s="562"/>
      <c r="M217" s="473"/>
      <c r="N217" s="594"/>
      <c r="O217" s="387"/>
    </row>
    <row r="218" spans="1:15" x14ac:dyDescent="0.3">
      <c r="A218" s="561"/>
      <c r="B218" s="400" t="s">
        <v>215</v>
      </c>
      <c r="C218" s="401"/>
      <c r="D218" s="401"/>
      <c r="E218" s="401"/>
      <c r="F218" s="404" t="s">
        <v>216</v>
      </c>
      <c r="G218" s="401"/>
      <c r="H218" s="400" t="s">
        <v>217</v>
      </c>
      <c r="I218" s="564"/>
      <c r="J218" s="401"/>
      <c r="K218" s="564"/>
      <c r="L218" s="401"/>
      <c r="M218" s="401"/>
      <c r="N218" s="594"/>
      <c r="O218" s="387"/>
    </row>
    <row r="219" spans="1:15" x14ac:dyDescent="0.3">
      <c r="A219" s="561"/>
      <c r="B219" s="401"/>
      <c r="C219" s="401"/>
      <c r="D219" s="401"/>
      <c r="E219" s="401"/>
      <c r="F219" s="401"/>
      <c r="G219" s="401"/>
      <c r="H219" s="401"/>
      <c r="I219" s="401"/>
      <c r="J219" s="401"/>
      <c r="K219" s="401"/>
      <c r="L219" s="401"/>
      <c r="M219" s="401"/>
      <c r="N219" s="594"/>
      <c r="O219" s="387"/>
    </row>
    <row r="220" spans="1:15" x14ac:dyDescent="0.3">
      <c r="A220" s="561"/>
      <c r="B220" s="400" t="s">
        <v>262</v>
      </c>
      <c r="C220" s="400"/>
      <c r="D220" s="400"/>
      <c r="E220" s="400"/>
      <c r="F220" s="565" t="s">
        <v>222</v>
      </c>
      <c r="G220" s="400"/>
      <c r="H220" s="566" t="s">
        <v>287</v>
      </c>
      <c r="I220" s="401"/>
      <c r="J220" s="401"/>
      <c r="K220" s="401"/>
      <c r="L220" s="401"/>
      <c r="M220" s="401"/>
      <c r="N220" s="594"/>
      <c r="O220" s="387"/>
    </row>
    <row r="221" spans="1:15" x14ac:dyDescent="0.3">
      <c r="A221" s="561"/>
      <c r="B221" s="400" t="s">
        <v>263</v>
      </c>
      <c r="C221" s="400"/>
      <c r="D221" s="400"/>
      <c r="E221" s="400"/>
      <c r="F221" s="565" t="s">
        <v>225</v>
      </c>
      <c r="G221" s="400"/>
      <c r="H221" s="566" t="s">
        <v>288</v>
      </c>
      <c r="I221" s="401"/>
      <c r="J221" s="401"/>
      <c r="K221" s="401"/>
      <c r="L221" s="401"/>
      <c r="M221" s="401"/>
      <c r="N221" s="594"/>
      <c r="O221" s="387"/>
    </row>
    <row r="222" spans="1:15" x14ac:dyDescent="0.3">
      <c r="A222" s="561"/>
      <c r="B222" s="400"/>
      <c r="C222" s="400"/>
      <c r="D222" s="400"/>
      <c r="E222" s="404"/>
      <c r="F222" s="400"/>
      <c r="G222" s="400"/>
      <c r="H222" s="400"/>
      <c r="I222" s="400"/>
      <c r="J222" s="401"/>
      <c r="K222" s="401"/>
      <c r="L222" s="401"/>
      <c r="M222" s="401"/>
      <c r="N222" s="594"/>
      <c r="O222" s="387"/>
    </row>
    <row r="223" spans="1:15" ht="18.600000000000001" thickBot="1" x14ac:dyDescent="0.4">
      <c r="A223" s="561"/>
      <c r="B223" s="567" t="str">
        <f>B170</f>
        <v>PSF1 INVESTOR REPORT QUARTER ENDING APRIL 2018</v>
      </c>
      <c r="C223" s="400"/>
      <c r="D223" s="400"/>
      <c r="E223" s="404"/>
      <c r="F223" s="400"/>
      <c r="G223" s="400"/>
      <c r="H223" s="400"/>
      <c r="I223" s="400"/>
      <c r="J223" s="401"/>
      <c r="K223" s="401"/>
      <c r="L223" s="401"/>
      <c r="M223" s="401"/>
      <c r="N223" s="601"/>
      <c r="O223" s="387"/>
    </row>
    <row r="224" spans="1:15" x14ac:dyDescent="0.3">
      <c r="A224" s="568"/>
      <c r="B224" s="568"/>
      <c r="C224" s="568"/>
      <c r="D224" s="568"/>
      <c r="E224" s="568"/>
      <c r="F224" s="568"/>
      <c r="G224" s="568"/>
      <c r="H224" s="568"/>
      <c r="I224" s="568"/>
      <c r="J224" s="568"/>
      <c r="K224" s="568"/>
      <c r="L224" s="568"/>
      <c r="M224" s="568"/>
      <c r="N224" s="568"/>
    </row>
    <row r="226" spans="9:9" x14ac:dyDescent="0.3">
      <c r="I226" s="472"/>
    </row>
  </sheetData>
  <hyperlinks>
    <hyperlink ref="I10" r:id="rId1" xr:uid="{00000000-0004-0000-3400-000000000000}"/>
    <hyperlink ref="K202" r:id="rId2" xr:uid="{00000000-0004-0000-34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4" max="14" man="1"/>
    <brk id="170" max="14" man="1"/>
  </rowBreaks>
  <colBreaks count="1" manualBreakCount="1">
    <brk id="14" max="224" man="1"/>
  </colBreaks>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2D2926"/>
  </sheetPr>
  <dimension ref="A1:P226"/>
  <sheetViews>
    <sheetView showOutlineSymbols="0" zoomScale="70" zoomScaleNormal="70" workbookViewId="0"/>
  </sheetViews>
  <sheetFormatPr defaultColWidth="9.81640625" defaultRowHeight="15.6" x14ac:dyDescent="0.3"/>
  <cols>
    <col min="1" max="1" width="4.81640625" style="388" customWidth="1"/>
    <col min="2" max="2" width="64.81640625" style="388" customWidth="1"/>
    <col min="3" max="3" width="15.453125" style="388" customWidth="1"/>
    <col min="4" max="4" width="10.81640625" style="388" customWidth="1"/>
    <col min="5" max="5" width="13.81640625" style="388" customWidth="1"/>
    <col min="6" max="6" width="8.08984375" style="388" customWidth="1"/>
    <col min="7" max="7" width="15.81640625" style="388" customWidth="1"/>
    <col min="8" max="8" width="8.1796875" style="388" customWidth="1"/>
    <col min="9" max="9" width="19.453125" style="388" customWidth="1"/>
    <col min="10" max="10" width="9.81640625" style="388" customWidth="1"/>
    <col min="11" max="11" width="18.81640625" style="388" customWidth="1"/>
    <col min="12" max="12" width="7.453125" style="388" customWidth="1"/>
    <col min="13" max="13" width="14.81640625" style="388" customWidth="1"/>
    <col min="14" max="14" width="23.453125" style="388" customWidth="1"/>
    <col min="15" max="16384" width="9.81640625" style="388"/>
  </cols>
  <sheetData>
    <row r="1" spans="1:15" ht="21" x14ac:dyDescent="0.4">
      <c r="A1" s="383"/>
      <c r="B1" s="384" t="s">
        <v>148</v>
      </c>
      <c r="C1" s="385"/>
      <c r="D1" s="385"/>
      <c r="E1" s="386"/>
      <c r="F1" s="386"/>
      <c r="G1" s="386"/>
      <c r="H1" s="386"/>
      <c r="I1" s="386"/>
      <c r="J1" s="386"/>
      <c r="K1" s="386"/>
      <c r="L1" s="386"/>
      <c r="M1" s="386"/>
      <c r="N1" s="590"/>
      <c r="O1" s="387"/>
    </row>
    <row r="2" spans="1:15" x14ac:dyDescent="0.3">
      <c r="A2" s="389"/>
      <c r="B2" s="390"/>
      <c r="C2" s="390"/>
      <c r="D2" s="390"/>
      <c r="E2" s="391"/>
      <c r="F2" s="391"/>
      <c r="G2" s="391"/>
      <c r="H2" s="391"/>
      <c r="I2" s="391"/>
      <c r="J2" s="391"/>
      <c r="K2" s="391"/>
      <c r="L2" s="391"/>
      <c r="M2" s="391"/>
      <c r="N2" s="591"/>
      <c r="O2" s="387"/>
    </row>
    <row r="3" spans="1:15" x14ac:dyDescent="0.3">
      <c r="A3" s="392"/>
      <c r="B3" s="393" t="s">
        <v>149</v>
      </c>
      <c r="C3" s="391"/>
      <c r="D3" s="391"/>
      <c r="E3" s="391"/>
      <c r="F3" s="391"/>
      <c r="G3" s="391"/>
      <c r="H3" s="391"/>
      <c r="I3" s="391"/>
      <c r="J3" s="391"/>
      <c r="K3" s="391"/>
      <c r="L3" s="391"/>
      <c r="M3" s="391"/>
      <c r="N3" s="591"/>
      <c r="O3" s="387"/>
    </row>
    <row r="4" spans="1:15" x14ac:dyDescent="0.3">
      <c r="A4" s="389"/>
      <c r="B4" s="390"/>
      <c r="C4" s="390"/>
      <c r="D4" s="390"/>
      <c r="E4" s="391"/>
      <c r="F4" s="391"/>
      <c r="G4" s="391"/>
      <c r="H4" s="391"/>
      <c r="I4" s="391"/>
      <c r="J4" s="391"/>
      <c r="K4" s="391"/>
      <c r="L4" s="391"/>
      <c r="M4" s="391"/>
      <c r="N4" s="591"/>
      <c r="O4" s="387"/>
    </row>
    <row r="5" spans="1:15" x14ac:dyDescent="0.3">
      <c r="A5" s="389"/>
      <c r="B5" s="394" t="s">
        <v>0</v>
      </c>
      <c r="C5" s="395"/>
      <c r="D5" s="395"/>
      <c r="E5" s="391"/>
      <c r="F5" s="391"/>
      <c r="G5" s="391"/>
      <c r="H5" s="391"/>
      <c r="I5" s="391"/>
      <c r="J5" s="391"/>
      <c r="K5" s="391"/>
      <c r="L5" s="391"/>
      <c r="M5" s="391"/>
      <c r="N5" s="591"/>
      <c r="O5" s="387"/>
    </row>
    <row r="6" spans="1:15" x14ac:dyDescent="0.3">
      <c r="A6" s="389"/>
      <c r="B6" s="394" t="s">
        <v>1</v>
      </c>
      <c r="C6" s="395"/>
      <c r="D6" s="395"/>
      <c r="E6" s="391"/>
      <c r="F6" s="391"/>
      <c r="G6" s="391"/>
      <c r="H6" s="391"/>
      <c r="I6" s="391"/>
      <c r="J6" s="391"/>
      <c r="K6" s="391"/>
      <c r="L6" s="391"/>
      <c r="M6" s="391"/>
      <c r="N6" s="591"/>
      <c r="O6" s="387"/>
    </row>
    <row r="7" spans="1:15" x14ac:dyDescent="0.3">
      <c r="A7" s="389"/>
      <c r="B7" s="394" t="s">
        <v>2</v>
      </c>
      <c r="C7" s="395"/>
      <c r="D7" s="395"/>
      <c r="E7" s="391"/>
      <c r="F7" s="391"/>
      <c r="G7" s="391"/>
      <c r="H7" s="391"/>
      <c r="I7" s="391"/>
      <c r="J7" s="391"/>
      <c r="K7" s="391"/>
      <c r="L7" s="391"/>
      <c r="M7" s="391"/>
      <c r="N7" s="591"/>
      <c r="O7" s="387"/>
    </row>
    <row r="8" spans="1:15" x14ac:dyDescent="0.3">
      <c r="A8" s="389"/>
      <c r="B8" s="394" t="s">
        <v>3</v>
      </c>
      <c r="C8" s="395"/>
      <c r="D8" s="395"/>
      <c r="E8" s="391"/>
      <c r="F8" s="391"/>
      <c r="G8" s="391"/>
      <c r="H8" s="391"/>
      <c r="I8" s="391"/>
      <c r="J8" s="391"/>
      <c r="K8" s="391"/>
      <c r="L8" s="391"/>
      <c r="M8" s="391"/>
      <c r="N8" s="591"/>
      <c r="O8" s="387"/>
    </row>
    <row r="9" spans="1:15" x14ac:dyDescent="0.3">
      <c r="A9" s="389"/>
      <c r="B9" s="391"/>
      <c r="C9" s="395"/>
      <c r="D9" s="395"/>
      <c r="E9" s="391"/>
      <c r="F9" s="391"/>
      <c r="G9" s="391"/>
      <c r="H9" s="391"/>
      <c r="I9" s="391"/>
      <c r="J9" s="391"/>
      <c r="K9" s="391"/>
      <c r="L9" s="391"/>
      <c r="M9" s="391"/>
      <c r="N9" s="591"/>
      <c r="O9" s="387"/>
    </row>
    <row r="10" spans="1:15" ht="18" x14ac:dyDescent="0.35">
      <c r="A10" s="389"/>
      <c r="B10" s="396" t="s">
        <v>198</v>
      </c>
      <c r="C10" s="395"/>
      <c r="D10" s="395"/>
      <c r="E10" s="391"/>
      <c r="F10" s="391"/>
      <c r="G10" s="391"/>
      <c r="H10" s="391"/>
      <c r="I10" s="397" t="s">
        <v>286</v>
      </c>
      <c r="J10" s="391"/>
      <c r="K10" s="391"/>
      <c r="L10" s="391"/>
      <c r="M10" s="391"/>
      <c r="N10" s="591"/>
      <c r="O10" s="387"/>
    </row>
    <row r="11" spans="1:15" x14ac:dyDescent="0.3">
      <c r="A11" s="389"/>
      <c r="B11" s="398"/>
      <c r="C11" s="395"/>
      <c r="D11" s="395"/>
      <c r="E11" s="399"/>
      <c r="F11" s="399"/>
      <c r="G11" s="391"/>
      <c r="H11" s="391"/>
      <c r="I11" s="391"/>
      <c r="J11" s="391"/>
      <c r="K11" s="391"/>
      <c r="L11" s="391"/>
      <c r="M11" s="391"/>
      <c r="N11" s="591"/>
      <c r="O11" s="387"/>
    </row>
    <row r="12" spans="1:15" x14ac:dyDescent="0.3">
      <c r="A12" s="389"/>
      <c r="B12" s="400" t="s">
        <v>4</v>
      </c>
      <c r="C12" s="400"/>
      <c r="D12" s="400"/>
      <c r="E12" s="401"/>
      <c r="F12" s="401"/>
      <c r="G12" s="401"/>
      <c r="H12" s="401"/>
      <c r="I12" s="401"/>
      <c r="J12" s="401"/>
      <c r="K12" s="401"/>
      <c r="L12" s="401"/>
      <c r="M12" s="401"/>
      <c r="N12" s="591"/>
      <c r="O12" s="387"/>
    </row>
    <row r="13" spans="1:15" ht="16.2" thickBot="1" x14ac:dyDescent="0.35">
      <c r="A13" s="389"/>
      <c r="B13" s="400"/>
      <c r="C13" s="400"/>
      <c r="D13" s="400"/>
      <c r="E13" s="401"/>
      <c r="F13" s="401"/>
      <c r="G13" s="401"/>
      <c r="H13" s="401"/>
      <c r="I13" s="401"/>
      <c r="J13" s="401"/>
      <c r="K13" s="401"/>
      <c r="L13" s="401"/>
      <c r="M13" s="401"/>
      <c r="N13" s="591"/>
      <c r="O13" s="387"/>
    </row>
    <row r="14" spans="1:15" x14ac:dyDescent="0.3">
      <c r="A14" s="383"/>
      <c r="B14" s="402"/>
      <c r="C14" s="402"/>
      <c r="D14" s="402"/>
      <c r="E14" s="402"/>
      <c r="F14" s="402"/>
      <c r="G14" s="402"/>
      <c r="H14" s="402"/>
      <c r="I14" s="402"/>
      <c r="J14" s="402"/>
      <c r="K14" s="402"/>
      <c r="L14" s="402"/>
      <c r="M14" s="402"/>
      <c r="N14" s="590"/>
      <c r="O14" s="387"/>
    </row>
    <row r="15" spans="1:15" x14ac:dyDescent="0.3">
      <c r="A15" s="389"/>
      <c r="B15" s="400" t="s">
        <v>5</v>
      </c>
      <c r="C15" s="400"/>
      <c r="D15" s="400"/>
      <c r="E15" s="401"/>
      <c r="F15" s="401"/>
      <c r="G15" s="401"/>
      <c r="H15" s="401"/>
      <c r="I15" s="401"/>
      <c r="J15" s="401"/>
      <c r="K15" s="401"/>
      <c r="L15" s="401"/>
      <c r="M15" s="403" t="s">
        <v>151</v>
      </c>
      <c r="N15" s="592"/>
      <c r="O15" s="387"/>
    </row>
    <row r="16" spans="1:15" x14ac:dyDescent="0.3">
      <c r="A16" s="389"/>
      <c r="B16" s="400" t="s">
        <v>6</v>
      </c>
      <c r="C16" s="400"/>
      <c r="D16" s="400"/>
      <c r="E16" s="401"/>
      <c r="F16" s="401"/>
      <c r="G16" s="401"/>
      <c r="H16" s="401"/>
      <c r="I16" s="404"/>
      <c r="J16" s="405"/>
      <c r="K16" s="404" t="s">
        <v>150</v>
      </c>
      <c r="L16" s="405">
        <v>1</v>
      </c>
      <c r="M16" s="403"/>
      <c r="N16" s="592"/>
      <c r="O16" s="387"/>
    </row>
    <row r="17" spans="1:15" x14ac:dyDescent="0.3">
      <c r="A17" s="389"/>
      <c r="B17" s="400" t="s">
        <v>7</v>
      </c>
      <c r="C17" s="400"/>
      <c r="D17" s="400"/>
      <c r="E17" s="401"/>
      <c r="F17" s="401"/>
      <c r="G17" s="401"/>
      <c r="H17" s="401"/>
      <c r="I17" s="404"/>
      <c r="J17" s="405"/>
      <c r="K17" s="404" t="s">
        <v>150</v>
      </c>
      <c r="L17" s="405">
        <v>1</v>
      </c>
      <c r="M17" s="403"/>
      <c r="N17" s="592"/>
      <c r="O17" s="387"/>
    </row>
    <row r="18" spans="1:15" x14ac:dyDescent="0.3">
      <c r="A18" s="389"/>
      <c r="B18" s="400" t="s">
        <v>8</v>
      </c>
      <c r="C18" s="400"/>
      <c r="D18" s="400"/>
      <c r="E18" s="401"/>
      <c r="F18" s="401"/>
      <c r="G18" s="401"/>
      <c r="H18" s="401"/>
      <c r="I18" s="401"/>
      <c r="J18" s="401"/>
      <c r="K18" s="401"/>
      <c r="L18" s="401"/>
      <c r="M18" s="406">
        <v>38336</v>
      </c>
      <c r="N18" s="592"/>
      <c r="O18" s="387"/>
    </row>
    <row r="19" spans="1:15" x14ac:dyDescent="0.3">
      <c r="A19" s="389"/>
      <c r="B19" s="400" t="s">
        <v>9</v>
      </c>
      <c r="C19" s="400"/>
      <c r="D19" s="400"/>
      <c r="E19" s="401"/>
      <c r="F19" s="401"/>
      <c r="G19" s="401"/>
      <c r="H19" s="401"/>
      <c r="I19" s="401"/>
      <c r="J19" s="401"/>
      <c r="K19" s="401"/>
      <c r="L19" s="401"/>
      <c r="M19" s="406">
        <v>43332</v>
      </c>
      <c r="N19" s="592"/>
      <c r="O19" s="387"/>
    </row>
    <row r="20" spans="1:15" x14ac:dyDescent="0.3">
      <c r="A20" s="389"/>
      <c r="B20" s="401"/>
      <c r="C20" s="401"/>
      <c r="D20" s="401"/>
      <c r="E20" s="401"/>
      <c r="F20" s="401"/>
      <c r="G20" s="401"/>
      <c r="H20" s="401"/>
      <c r="I20" s="401"/>
      <c r="J20" s="401"/>
      <c r="K20" s="401"/>
      <c r="L20" s="401"/>
      <c r="M20" s="407"/>
      <c r="N20" s="591"/>
      <c r="O20" s="387"/>
    </row>
    <row r="21" spans="1:15" x14ac:dyDescent="0.3">
      <c r="A21" s="389"/>
      <c r="B21" s="408" t="s">
        <v>10</v>
      </c>
      <c r="C21" s="401"/>
      <c r="D21" s="401"/>
      <c r="E21" s="401"/>
      <c r="F21" s="401"/>
      <c r="G21" s="401"/>
      <c r="H21" s="401"/>
      <c r="I21" s="401"/>
      <c r="J21" s="401"/>
      <c r="K21" s="407" t="s">
        <v>130</v>
      </c>
      <c r="L21" s="401"/>
      <c r="M21" s="401"/>
      <c r="N21" s="591"/>
      <c r="O21" s="387"/>
    </row>
    <row r="22" spans="1:15" x14ac:dyDescent="0.3">
      <c r="A22" s="389"/>
      <c r="B22" s="391"/>
      <c r="C22" s="391"/>
      <c r="D22" s="391"/>
      <c r="E22" s="391"/>
      <c r="F22" s="391"/>
      <c r="G22" s="391"/>
      <c r="H22" s="391"/>
      <c r="I22" s="391"/>
      <c r="J22" s="391"/>
      <c r="K22" s="391"/>
      <c r="L22" s="391"/>
      <c r="M22" s="409"/>
      <c r="N22" s="591"/>
      <c r="O22" s="387"/>
    </row>
    <row r="23" spans="1:15" x14ac:dyDescent="0.3">
      <c r="A23" s="410"/>
      <c r="B23" s="576"/>
      <c r="C23" s="577" t="s">
        <v>131</v>
      </c>
      <c r="D23" s="577"/>
      <c r="E23" s="577" t="s">
        <v>124</v>
      </c>
      <c r="F23" s="577"/>
      <c r="G23" s="577" t="s">
        <v>152</v>
      </c>
      <c r="H23" s="577"/>
      <c r="I23" s="577"/>
      <c r="J23" s="578"/>
      <c r="K23" s="578"/>
      <c r="L23" s="576"/>
      <c r="M23" s="576"/>
      <c r="N23" s="579"/>
      <c r="O23" s="387"/>
    </row>
    <row r="24" spans="1:15" x14ac:dyDescent="0.3">
      <c r="A24" s="570"/>
      <c r="B24" s="571" t="s">
        <v>156</v>
      </c>
      <c r="C24" s="572" t="s">
        <v>121</v>
      </c>
      <c r="D24" s="572"/>
      <c r="E24" s="572" t="s">
        <v>125</v>
      </c>
      <c r="F24" s="572"/>
      <c r="G24" s="572" t="s">
        <v>158</v>
      </c>
      <c r="H24" s="573"/>
      <c r="I24" s="573"/>
      <c r="J24" s="573"/>
      <c r="K24" s="573"/>
      <c r="L24" s="574"/>
      <c r="M24" s="574"/>
      <c r="N24" s="575"/>
      <c r="O24" s="387"/>
    </row>
    <row r="25" spans="1:15" x14ac:dyDescent="0.3">
      <c r="A25" s="412"/>
      <c r="B25" s="413" t="s">
        <v>11</v>
      </c>
      <c r="C25" s="414" t="s">
        <v>121</v>
      </c>
      <c r="D25" s="414"/>
      <c r="E25" s="414" t="s">
        <v>125</v>
      </c>
      <c r="F25" s="414"/>
      <c r="G25" s="414" t="s">
        <v>158</v>
      </c>
      <c r="H25" s="415"/>
      <c r="I25" s="415"/>
      <c r="J25" s="415"/>
      <c r="K25" s="415"/>
      <c r="L25" s="416"/>
      <c r="M25" s="416"/>
      <c r="N25" s="417"/>
      <c r="O25" s="387"/>
    </row>
    <row r="26" spans="1:15" x14ac:dyDescent="0.3">
      <c r="A26" s="418"/>
      <c r="B26" s="419" t="s">
        <v>157</v>
      </c>
      <c r="C26" s="420" t="s">
        <v>121</v>
      </c>
      <c r="D26" s="420"/>
      <c r="E26" s="420" t="s">
        <v>283</v>
      </c>
      <c r="F26" s="420"/>
      <c r="G26" s="420" t="s">
        <v>278</v>
      </c>
      <c r="H26" s="421"/>
      <c r="I26" s="421"/>
      <c r="J26" s="415"/>
      <c r="K26" s="415"/>
      <c r="L26" s="416"/>
      <c r="M26" s="416"/>
      <c r="N26" s="417"/>
      <c r="O26" s="387"/>
    </row>
    <row r="27" spans="1:15" x14ac:dyDescent="0.3">
      <c r="A27" s="418"/>
      <c r="B27" s="419" t="s">
        <v>12</v>
      </c>
      <c r="C27" s="420" t="s">
        <v>121</v>
      </c>
      <c r="D27" s="420"/>
      <c r="E27" s="420" t="s">
        <v>283</v>
      </c>
      <c r="F27" s="420"/>
      <c r="G27" s="420" t="s">
        <v>284</v>
      </c>
      <c r="H27" s="421"/>
      <c r="I27" s="421"/>
      <c r="J27" s="415"/>
      <c r="K27" s="415"/>
      <c r="L27" s="416"/>
      <c r="M27" s="416"/>
      <c r="N27" s="417"/>
      <c r="O27" s="387"/>
    </row>
    <row r="28" spans="1:15" x14ac:dyDescent="0.3">
      <c r="A28" s="412"/>
      <c r="B28" s="413" t="s">
        <v>13</v>
      </c>
      <c r="C28" s="422" t="s">
        <v>153</v>
      </c>
      <c r="D28" s="414"/>
      <c r="E28" s="422" t="s">
        <v>154</v>
      </c>
      <c r="F28" s="414"/>
      <c r="G28" s="422" t="s">
        <v>155</v>
      </c>
      <c r="H28" s="415"/>
      <c r="I28" s="423"/>
      <c r="J28" s="415"/>
      <c r="K28" s="423"/>
      <c r="L28" s="416"/>
      <c r="M28" s="416"/>
      <c r="N28" s="417"/>
      <c r="O28" s="387"/>
    </row>
    <row r="29" spans="1:15" x14ac:dyDescent="0.3">
      <c r="A29" s="412"/>
      <c r="B29" s="424"/>
      <c r="C29" s="424"/>
      <c r="D29" s="425"/>
      <c r="E29" s="425"/>
      <c r="F29" s="425"/>
      <c r="G29" s="425"/>
      <c r="H29" s="415"/>
      <c r="I29" s="415"/>
      <c r="J29" s="415"/>
      <c r="K29" s="415"/>
      <c r="L29" s="416"/>
      <c r="M29" s="416"/>
      <c r="N29" s="417"/>
      <c r="O29" s="387"/>
    </row>
    <row r="30" spans="1:15" x14ac:dyDescent="0.3">
      <c r="A30" s="412"/>
      <c r="B30" s="413" t="s">
        <v>14</v>
      </c>
      <c r="C30" s="426">
        <v>231000</v>
      </c>
      <c r="D30" s="427"/>
      <c r="E30" s="426">
        <v>42000</v>
      </c>
      <c r="F30" s="426"/>
      <c r="G30" s="426">
        <v>27000</v>
      </c>
      <c r="H30" s="426"/>
      <c r="I30" s="426"/>
      <c r="J30" s="426"/>
      <c r="K30" s="426"/>
      <c r="L30" s="427"/>
      <c r="M30" s="426">
        <f>C30+E30+G30</f>
        <v>300000</v>
      </c>
      <c r="N30" s="428"/>
      <c r="O30" s="387"/>
    </row>
    <row r="31" spans="1:15" x14ac:dyDescent="0.3">
      <c r="A31" s="412"/>
      <c r="B31" s="413" t="s">
        <v>290</v>
      </c>
      <c r="C31" s="426">
        <f>C30*C34</f>
        <v>19585.519799999998</v>
      </c>
      <c r="D31" s="427"/>
      <c r="E31" s="426">
        <f>E30*E34</f>
        <v>10196.155199999999</v>
      </c>
      <c r="F31" s="426"/>
      <c r="G31" s="426">
        <f>G30*G34</f>
        <v>6554.6927999999998</v>
      </c>
      <c r="H31" s="426"/>
      <c r="I31" s="426"/>
      <c r="J31" s="426"/>
      <c r="K31" s="426"/>
      <c r="L31" s="427"/>
      <c r="M31" s="426">
        <f>C31+E31+G31</f>
        <v>36336.367799999993</v>
      </c>
      <c r="N31" s="428"/>
      <c r="O31" s="387"/>
    </row>
    <row r="32" spans="1:15" x14ac:dyDescent="0.3">
      <c r="A32" s="418"/>
      <c r="B32" s="419" t="s">
        <v>291</v>
      </c>
      <c r="C32" s="429">
        <f>C30*C33</f>
        <v>18399.889199999998</v>
      </c>
      <c r="D32" s="430"/>
      <c r="E32" s="429">
        <f>E30*E33</f>
        <v>9578.8895999999986</v>
      </c>
      <c r="F32" s="429"/>
      <c r="G32" s="429">
        <f>G30*G33</f>
        <v>6157.8792000000003</v>
      </c>
      <c r="H32" s="429"/>
      <c r="I32" s="429"/>
      <c r="J32" s="429"/>
      <c r="K32" s="429"/>
      <c r="L32" s="430"/>
      <c r="M32" s="426">
        <f>C32+E32+G32</f>
        <v>34136.657999999996</v>
      </c>
      <c r="N32" s="428"/>
      <c r="O32" s="387"/>
    </row>
    <row r="33" spans="1:15" x14ac:dyDescent="0.3">
      <c r="A33" s="418"/>
      <c r="B33" s="431" t="s">
        <v>174</v>
      </c>
      <c r="C33" s="432">
        <v>7.9653199999999993E-2</v>
      </c>
      <c r="D33" s="433"/>
      <c r="E33" s="432">
        <v>0.22806879999999999</v>
      </c>
      <c r="F33" s="432"/>
      <c r="G33" s="432">
        <v>0.22806960000000001</v>
      </c>
      <c r="H33" s="434"/>
      <c r="I33" s="434"/>
      <c r="J33" s="435"/>
      <c r="K33" s="435"/>
      <c r="L33" s="436"/>
      <c r="M33" s="435"/>
      <c r="N33" s="428"/>
      <c r="O33" s="387"/>
    </row>
    <row r="34" spans="1:15" x14ac:dyDescent="0.3">
      <c r="A34" s="418"/>
      <c r="B34" s="431" t="s">
        <v>175</v>
      </c>
      <c r="C34" s="432">
        <v>8.4785799999999995E-2</v>
      </c>
      <c r="D34" s="433"/>
      <c r="E34" s="432">
        <v>0.2427656</v>
      </c>
      <c r="F34" s="432"/>
      <c r="G34" s="432">
        <v>0.24276639999999999</v>
      </c>
      <c r="H34" s="434"/>
      <c r="I34" s="434"/>
      <c r="J34" s="435"/>
      <c r="K34" s="435"/>
      <c r="L34" s="436"/>
      <c r="M34" s="435"/>
      <c r="N34" s="428"/>
      <c r="O34" s="387"/>
    </row>
    <row r="35" spans="1:15" x14ac:dyDescent="0.3">
      <c r="A35" s="412"/>
      <c r="B35" s="413" t="s">
        <v>17</v>
      </c>
      <c r="C35" s="422" t="s">
        <v>164</v>
      </c>
      <c r="D35" s="413"/>
      <c r="E35" s="422" t="s">
        <v>163</v>
      </c>
      <c r="F35" s="422"/>
      <c r="G35" s="422" t="s">
        <v>162</v>
      </c>
      <c r="H35" s="422"/>
      <c r="I35" s="422"/>
      <c r="J35" s="422"/>
      <c r="K35" s="422"/>
      <c r="L35" s="413"/>
      <c r="M35" s="413"/>
      <c r="N35" s="437"/>
      <c r="O35" s="387"/>
    </row>
    <row r="36" spans="1:15" x14ac:dyDescent="0.3">
      <c r="A36" s="412"/>
      <c r="B36" s="413" t="s">
        <v>18</v>
      </c>
      <c r="C36" s="438">
        <v>1.04031E-2</v>
      </c>
      <c r="D36" s="413"/>
      <c r="E36" s="438">
        <v>2.1403100000000001E-2</v>
      </c>
      <c r="F36" s="439"/>
      <c r="G36" s="438">
        <v>2.6403099999999999E-2</v>
      </c>
      <c r="H36" s="439"/>
      <c r="I36" s="438"/>
      <c r="J36" s="439"/>
      <c r="K36" s="438"/>
      <c r="L36" s="413"/>
      <c r="M36" s="439">
        <f>SUMPRODUCT(C36:G36,C31:G31)/M31</f>
        <v>1.637598075667266E-2</v>
      </c>
      <c r="N36" s="437"/>
      <c r="O36" s="387"/>
    </row>
    <row r="37" spans="1:15" x14ac:dyDescent="0.3">
      <c r="A37" s="412"/>
      <c r="B37" s="413" t="s">
        <v>19</v>
      </c>
      <c r="C37" s="438">
        <v>9.4663000000000004E-3</v>
      </c>
      <c r="D37" s="413"/>
      <c r="E37" s="438">
        <v>2.04663E-2</v>
      </c>
      <c r="F37" s="439"/>
      <c r="G37" s="438">
        <v>2.5466300000000001E-2</v>
      </c>
      <c r="H37" s="439"/>
      <c r="I37" s="438"/>
      <c r="J37" s="439"/>
      <c r="K37" s="438"/>
      <c r="L37" s="413"/>
      <c r="M37" s="413"/>
      <c r="N37" s="437"/>
      <c r="O37" s="387"/>
    </row>
    <row r="38" spans="1:15" x14ac:dyDescent="0.3">
      <c r="A38" s="412"/>
      <c r="B38" s="413" t="s">
        <v>20</v>
      </c>
      <c r="C38" s="440">
        <v>39767</v>
      </c>
      <c r="D38" s="440"/>
      <c r="E38" s="440">
        <v>39767</v>
      </c>
      <c r="F38" s="440"/>
      <c r="G38" s="440">
        <v>39767</v>
      </c>
      <c r="H38" s="440"/>
      <c r="I38" s="440"/>
      <c r="J38" s="422"/>
      <c r="K38" s="422"/>
      <c r="L38" s="413"/>
      <c r="M38" s="413"/>
      <c r="N38" s="437"/>
      <c r="O38" s="387"/>
    </row>
    <row r="39" spans="1:15" x14ac:dyDescent="0.3">
      <c r="A39" s="412"/>
      <c r="B39" s="413" t="s">
        <v>21</v>
      </c>
      <c r="C39" s="440">
        <v>40132</v>
      </c>
      <c r="D39" s="440"/>
      <c r="E39" s="440">
        <v>40132</v>
      </c>
      <c r="F39" s="440"/>
      <c r="G39" s="440">
        <v>40132</v>
      </c>
      <c r="H39" s="440"/>
      <c r="I39" s="440"/>
      <c r="J39" s="422"/>
      <c r="K39" s="422"/>
      <c r="L39" s="413"/>
      <c r="M39" s="413"/>
      <c r="N39" s="437"/>
      <c r="O39" s="387"/>
    </row>
    <row r="40" spans="1:15" x14ac:dyDescent="0.3">
      <c r="A40" s="412"/>
      <c r="B40" s="413" t="s">
        <v>22</v>
      </c>
      <c r="C40" s="422" t="s">
        <v>164</v>
      </c>
      <c r="D40" s="413"/>
      <c r="E40" s="422" t="s">
        <v>163</v>
      </c>
      <c r="F40" s="422"/>
      <c r="G40" s="422" t="s">
        <v>162</v>
      </c>
      <c r="H40" s="422"/>
      <c r="I40" s="422"/>
      <c r="J40" s="422"/>
      <c r="K40" s="422"/>
      <c r="L40" s="413"/>
      <c r="M40" s="413"/>
      <c r="N40" s="437"/>
      <c r="O40" s="387"/>
    </row>
    <row r="41" spans="1:15" x14ac:dyDescent="0.3">
      <c r="A41" s="412"/>
      <c r="B41" s="413"/>
      <c r="C41" s="413"/>
      <c r="D41" s="413"/>
      <c r="E41" s="438"/>
      <c r="F41" s="413"/>
      <c r="G41" s="438"/>
      <c r="H41" s="422"/>
      <c r="I41" s="422"/>
      <c r="J41" s="441"/>
      <c r="K41" s="441"/>
      <c r="L41" s="441"/>
      <c r="M41" s="441"/>
      <c r="N41" s="437"/>
      <c r="O41" s="387"/>
    </row>
    <row r="42" spans="1:15" x14ac:dyDescent="0.3">
      <c r="A42" s="412"/>
      <c r="B42" s="413" t="s">
        <v>178</v>
      </c>
      <c r="C42" s="413"/>
      <c r="D42" s="413"/>
      <c r="E42" s="442"/>
      <c r="F42" s="413"/>
      <c r="G42" s="442"/>
      <c r="H42" s="413"/>
      <c r="I42" s="442"/>
      <c r="J42" s="413"/>
      <c r="K42" s="413"/>
      <c r="L42" s="413"/>
      <c r="M42" s="439">
        <f>(E30+G30)/C30</f>
        <v>0.29870129870129869</v>
      </c>
      <c r="N42" s="437"/>
      <c r="O42" s="387"/>
    </row>
    <row r="43" spans="1:15" x14ac:dyDescent="0.3">
      <c r="A43" s="412"/>
      <c r="B43" s="413" t="s">
        <v>179</v>
      </c>
      <c r="C43" s="413"/>
      <c r="D43" s="413"/>
      <c r="E43" s="442"/>
      <c r="F43" s="413"/>
      <c r="G43" s="442"/>
      <c r="H43" s="413"/>
      <c r="I43" s="442"/>
      <c r="J43" s="413"/>
      <c r="K43" s="413"/>
      <c r="L43" s="413"/>
      <c r="M43" s="439">
        <f>(G32+E32)/C32</f>
        <v>0.85526432409169073</v>
      </c>
      <c r="N43" s="437"/>
      <c r="O43" s="387"/>
    </row>
    <row r="44" spans="1:15" x14ac:dyDescent="0.3">
      <c r="A44" s="412"/>
      <c r="B44" s="413" t="s">
        <v>23</v>
      </c>
      <c r="C44" s="413"/>
      <c r="D44" s="413"/>
      <c r="E44" s="413"/>
      <c r="F44" s="413"/>
      <c r="G44" s="413"/>
      <c r="H44" s="413"/>
      <c r="I44" s="413"/>
      <c r="J44" s="413"/>
      <c r="K44" s="422" t="s">
        <v>131</v>
      </c>
      <c r="L44" s="422" t="s">
        <v>138</v>
      </c>
      <c r="M44" s="426">
        <f>+M30/2-E30-G30</f>
        <v>81000</v>
      </c>
      <c r="N44" s="437"/>
      <c r="O44" s="387"/>
    </row>
    <row r="45" spans="1:15" x14ac:dyDescent="0.3">
      <c r="A45" s="412"/>
      <c r="B45" s="413"/>
      <c r="C45" s="413"/>
      <c r="D45" s="413"/>
      <c r="E45" s="413"/>
      <c r="F45" s="413"/>
      <c r="G45" s="413"/>
      <c r="H45" s="413"/>
      <c r="I45" s="413"/>
      <c r="J45" s="413"/>
      <c r="K45" s="413" t="s">
        <v>235</v>
      </c>
      <c r="L45" s="413"/>
      <c r="M45" s="443"/>
      <c r="N45" s="437"/>
      <c r="O45" s="387"/>
    </row>
    <row r="46" spans="1:15" x14ac:dyDescent="0.3">
      <c r="A46" s="412"/>
      <c r="B46" s="413" t="s">
        <v>24</v>
      </c>
      <c r="C46" s="413"/>
      <c r="D46" s="413"/>
      <c r="E46" s="413"/>
      <c r="F46" s="413"/>
      <c r="G46" s="413"/>
      <c r="H46" s="413"/>
      <c r="I46" s="413"/>
      <c r="J46" s="413"/>
      <c r="K46" s="422"/>
      <c r="L46" s="422"/>
      <c r="M46" s="422" t="s">
        <v>140</v>
      </c>
      <c r="N46" s="437"/>
      <c r="O46" s="387"/>
    </row>
    <row r="47" spans="1:15" x14ac:dyDescent="0.3">
      <c r="A47" s="412"/>
      <c r="B47" s="419" t="s">
        <v>25</v>
      </c>
      <c r="C47" s="419"/>
      <c r="D47" s="419"/>
      <c r="E47" s="419"/>
      <c r="F47" s="419"/>
      <c r="G47" s="419"/>
      <c r="H47" s="419"/>
      <c r="I47" s="419"/>
      <c r="J47" s="419"/>
      <c r="K47" s="444"/>
      <c r="L47" s="444"/>
      <c r="M47" s="445">
        <v>43327</v>
      </c>
      <c r="N47" s="437"/>
      <c r="O47" s="387"/>
    </row>
    <row r="48" spans="1:15" x14ac:dyDescent="0.3">
      <c r="A48" s="412"/>
      <c r="B48" s="413" t="s">
        <v>26</v>
      </c>
      <c r="C48" s="413"/>
      <c r="D48" s="413"/>
      <c r="E48" s="413"/>
      <c r="F48" s="413"/>
      <c r="G48" s="413"/>
      <c r="H48" s="413"/>
      <c r="I48" s="413"/>
      <c r="J48" s="413">
        <f>M48-K48+1</f>
        <v>89</v>
      </c>
      <c r="K48" s="446">
        <v>43146</v>
      </c>
      <c r="L48" s="447"/>
      <c r="M48" s="446">
        <v>43234</v>
      </c>
      <c r="N48" s="437"/>
      <c r="O48" s="387"/>
    </row>
    <row r="49" spans="1:15" x14ac:dyDescent="0.3">
      <c r="A49" s="412"/>
      <c r="B49" s="413" t="s">
        <v>27</v>
      </c>
      <c r="C49" s="413"/>
      <c r="D49" s="413"/>
      <c r="E49" s="413"/>
      <c r="F49" s="413"/>
      <c r="G49" s="413"/>
      <c r="H49" s="413"/>
      <c r="I49" s="413"/>
      <c r="J49" s="413">
        <f>M49-K49+1</f>
        <v>92</v>
      </c>
      <c r="K49" s="446">
        <v>43235</v>
      </c>
      <c r="L49" s="447"/>
      <c r="M49" s="446">
        <v>43326</v>
      </c>
      <c r="N49" s="437"/>
      <c r="O49" s="387"/>
    </row>
    <row r="50" spans="1:15" x14ac:dyDescent="0.3">
      <c r="A50" s="412"/>
      <c r="B50" s="413" t="s">
        <v>28</v>
      </c>
      <c r="C50" s="413"/>
      <c r="D50" s="413"/>
      <c r="E50" s="413"/>
      <c r="F50" s="413"/>
      <c r="G50" s="413"/>
      <c r="H50" s="413"/>
      <c r="I50" s="413"/>
      <c r="J50" s="413"/>
      <c r="K50" s="446"/>
      <c r="L50" s="447"/>
      <c r="M50" s="446" t="s">
        <v>141</v>
      </c>
      <c r="N50" s="437"/>
      <c r="O50" s="387"/>
    </row>
    <row r="51" spans="1:15" x14ac:dyDescent="0.3">
      <c r="A51" s="412"/>
      <c r="B51" s="413" t="s">
        <v>29</v>
      </c>
      <c r="C51" s="413"/>
      <c r="D51" s="413"/>
      <c r="E51" s="413"/>
      <c r="F51" s="413"/>
      <c r="G51" s="413"/>
      <c r="H51" s="413"/>
      <c r="I51" s="413"/>
      <c r="J51" s="413"/>
      <c r="K51" s="446"/>
      <c r="L51" s="447"/>
      <c r="M51" s="446">
        <v>43313</v>
      </c>
      <c r="N51" s="437"/>
      <c r="O51" s="387"/>
    </row>
    <row r="52" spans="1:15" x14ac:dyDescent="0.3">
      <c r="A52" s="389"/>
      <c r="B52" s="448"/>
      <c r="C52" s="448"/>
      <c r="D52" s="448"/>
      <c r="E52" s="448"/>
      <c r="F52" s="448"/>
      <c r="G52" s="448"/>
      <c r="H52" s="448"/>
      <c r="I52" s="448"/>
      <c r="J52" s="448"/>
      <c r="K52" s="449"/>
      <c r="L52" s="450"/>
      <c r="M52" s="449"/>
      <c r="N52" s="591"/>
      <c r="O52" s="387"/>
    </row>
    <row r="53" spans="1:15" x14ac:dyDescent="0.3">
      <c r="A53" s="389"/>
      <c r="B53" s="391"/>
      <c r="C53" s="391"/>
      <c r="D53" s="391"/>
      <c r="E53" s="391"/>
      <c r="F53" s="391"/>
      <c r="G53" s="391"/>
      <c r="H53" s="391"/>
      <c r="I53" s="391"/>
      <c r="J53" s="391"/>
      <c r="K53" s="451"/>
      <c r="L53" s="452"/>
      <c r="M53" s="451"/>
      <c r="N53" s="591"/>
      <c r="O53" s="387"/>
    </row>
    <row r="54" spans="1:15" ht="18.600000000000001" thickBot="1" x14ac:dyDescent="0.4">
      <c r="A54" s="453"/>
      <c r="B54" s="454" t="s">
        <v>294</v>
      </c>
      <c r="C54" s="455"/>
      <c r="D54" s="455"/>
      <c r="E54" s="455"/>
      <c r="F54" s="455"/>
      <c r="G54" s="455"/>
      <c r="H54" s="455"/>
      <c r="I54" s="455"/>
      <c r="J54" s="455"/>
      <c r="K54" s="455"/>
      <c r="L54" s="455"/>
      <c r="M54" s="456"/>
      <c r="N54" s="457"/>
      <c r="O54" s="387"/>
    </row>
    <row r="55" spans="1:15" x14ac:dyDescent="0.3">
      <c r="A55" s="410"/>
      <c r="B55" s="458" t="s">
        <v>30</v>
      </c>
      <c r="C55" s="459"/>
      <c r="D55" s="459"/>
      <c r="E55" s="411"/>
      <c r="F55" s="411"/>
      <c r="G55" s="411"/>
      <c r="H55" s="411"/>
      <c r="I55" s="411"/>
      <c r="J55" s="411"/>
      <c r="K55" s="411"/>
      <c r="L55" s="411"/>
      <c r="M55" s="460"/>
      <c r="N55" s="579"/>
      <c r="O55" s="387"/>
    </row>
    <row r="56" spans="1:15" x14ac:dyDescent="0.3">
      <c r="A56" s="389"/>
      <c r="B56" s="399"/>
      <c r="C56" s="399"/>
      <c r="D56" s="399"/>
      <c r="E56" s="391"/>
      <c r="F56" s="391"/>
      <c r="G56" s="391"/>
      <c r="H56" s="391"/>
      <c r="I56" s="391"/>
      <c r="J56" s="391"/>
      <c r="K56" s="391"/>
      <c r="L56" s="391"/>
      <c r="M56" s="461"/>
      <c r="N56" s="591"/>
      <c r="O56" s="387"/>
    </row>
    <row r="57" spans="1:15" ht="46.8" x14ac:dyDescent="0.3">
      <c r="A57" s="389"/>
      <c r="B57" s="462" t="s">
        <v>31</v>
      </c>
      <c r="C57" s="463" t="s">
        <v>119</v>
      </c>
      <c r="D57" s="463"/>
      <c r="E57" s="463" t="s">
        <v>122</v>
      </c>
      <c r="F57" s="463"/>
      <c r="G57" s="463" t="s">
        <v>123</v>
      </c>
      <c r="H57" s="463"/>
      <c r="I57" s="463" t="s">
        <v>126</v>
      </c>
      <c r="J57" s="463"/>
      <c r="K57" s="463" t="s">
        <v>132</v>
      </c>
      <c r="L57" s="463"/>
      <c r="M57" s="464" t="s">
        <v>142</v>
      </c>
      <c r="N57" s="593"/>
      <c r="O57" s="387"/>
    </row>
    <row r="58" spans="1:15" x14ac:dyDescent="0.3">
      <c r="A58" s="412"/>
      <c r="B58" s="413" t="s">
        <v>32</v>
      </c>
      <c r="C58" s="466">
        <f>240614-323</f>
        <v>240291</v>
      </c>
      <c r="D58" s="466"/>
      <c r="E58" s="467">
        <v>36336</v>
      </c>
      <c r="F58" s="466"/>
      <c r="G58" s="466">
        <v>2199</v>
      </c>
      <c r="H58" s="466"/>
      <c r="I58" s="466">
        <v>0</v>
      </c>
      <c r="J58" s="466"/>
      <c r="K58" s="466">
        <v>0</v>
      </c>
      <c r="L58" s="466"/>
      <c r="M58" s="467">
        <f>E58-G58+I58-K58</f>
        <v>34137</v>
      </c>
      <c r="N58" s="417"/>
      <c r="O58" s="387"/>
    </row>
    <row r="59" spans="1:15" x14ac:dyDescent="0.3">
      <c r="A59" s="412"/>
      <c r="B59" s="413" t="s">
        <v>33</v>
      </c>
      <c r="C59" s="466">
        <f>748-206</f>
        <v>542</v>
      </c>
      <c r="D59" s="466"/>
      <c r="E59" s="467">
        <v>0</v>
      </c>
      <c r="F59" s="466"/>
      <c r="G59" s="466">
        <v>0</v>
      </c>
      <c r="H59" s="466"/>
      <c r="I59" s="466">
        <v>0</v>
      </c>
      <c r="J59" s="466"/>
      <c r="K59" s="466">
        <v>0</v>
      </c>
      <c r="L59" s="466"/>
      <c r="M59" s="467">
        <f>E59-G59+I59-K59</f>
        <v>0</v>
      </c>
      <c r="N59" s="417"/>
      <c r="O59" s="387"/>
    </row>
    <row r="60" spans="1:15" x14ac:dyDescent="0.3">
      <c r="A60" s="412"/>
      <c r="B60" s="413"/>
      <c r="C60" s="466"/>
      <c r="D60" s="466"/>
      <c r="E60" s="467"/>
      <c r="F60" s="466"/>
      <c r="G60" s="466">
        <v>0</v>
      </c>
      <c r="H60" s="466"/>
      <c r="I60" s="466">
        <v>0</v>
      </c>
      <c r="J60" s="466"/>
      <c r="K60" s="466">
        <v>0</v>
      </c>
      <c r="L60" s="466"/>
      <c r="M60" s="467">
        <f>E60-G60+I60-K60</f>
        <v>0</v>
      </c>
      <c r="N60" s="417"/>
      <c r="O60" s="387"/>
    </row>
    <row r="61" spans="1:15" x14ac:dyDescent="0.3">
      <c r="A61" s="412"/>
      <c r="B61" s="413"/>
      <c r="C61" s="466"/>
      <c r="D61" s="466"/>
      <c r="E61" s="467"/>
      <c r="F61" s="466"/>
      <c r="G61" s="466"/>
      <c r="H61" s="466"/>
      <c r="I61" s="466"/>
      <c r="J61" s="466"/>
      <c r="K61" s="466"/>
      <c r="L61" s="466"/>
      <c r="M61" s="467"/>
      <c r="N61" s="417"/>
      <c r="O61" s="387"/>
    </row>
    <row r="62" spans="1:15" x14ac:dyDescent="0.3">
      <c r="A62" s="412"/>
      <c r="B62" s="413" t="s">
        <v>34</v>
      </c>
      <c r="C62" s="466">
        <f>SUM(C58:C61)</f>
        <v>240833</v>
      </c>
      <c r="D62" s="466"/>
      <c r="E62" s="466">
        <f>E58+E59+E60</f>
        <v>36336</v>
      </c>
      <c r="F62" s="466"/>
      <c r="G62" s="466">
        <f>SUM(G58:G61)</f>
        <v>2199</v>
      </c>
      <c r="H62" s="466"/>
      <c r="I62" s="466">
        <f>SUM(I58:I61)</f>
        <v>0</v>
      </c>
      <c r="J62" s="466"/>
      <c r="K62" s="466">
        <f>SUM(K58:K61)</f>
        <v>0</v>
      </c>
      <c r="L62" s="466"/>
      <c r="M62" s="466">
        <f>SUM(M58:M61)</f>
        <v>34137</v>
      </c>
      <c r="N62" s="417"/>
      <c r="O62" s="387"/>
    </row>
    <row r="63" spans="1:15" x14ac:dyDescent="0.3">
      <c r="A63" s="389"/>
      <c r="B63" s="448"/>
      <c r="C63" s="468"/>
      <c r="D63" s="468"/>
      <c r="E63" s="468"/>
      <c r="F63" s="468"/>
      <c r="G63" s="468"/>
      <c r="H63" s="468"/>
      <c r="I63" s="468"/>
      <c r="J63" s="468"/>
      <c r="K63" s="468"/>
      <c r="L63" s="468"/>
      <c r="M63" s="469"/>
      <c r="N63" s="591"/>
      <c r="O63" s="387"/>
    </row>
    <row r="64" spans="1:15" x14ac:dyDescent="0.3">
      <c r="A64" s="389"/>
      <c r="B64" s="393" t="s">
        <v>35</v>
      </c>
      <c r="C64" s="470"/>
      <c r="D64" s="470"/>
      <c r="E64" s="470"/>
      <c r="F64" s="470"/>
      <c r="G64" s="470"/>
      <c r="H64" s="470"/>
      <c r="I64" s="470"/>
      <c r="J64" s="470"/>
      <c r="K64" s="470"/>
      <c r="L64" s="470"/>
      <c r="M64" s="471"/>
      <c r="N64" s="591"/>
      <c r="O64" s="387"/>
    </row>
    <row r="65" spans="1:16" x14ac:dyDescent="0.3">
      <c r="A65" s="389"/>
      <c r="B65" s="391"/>
      <c r="C65" s="470"/>
      <c r="D65" s="470"/>
      <c r="E65" s="470"/>
      <c r="F65" s="470"/>
      <c r="G65" s="470"/>
      <c r="H65" s="470"/>
      <c r="I65" s="470"/>
      <c r="J65" s="470"/>
      <c r="K65" s="470"/>
      <c r="L65" s="470"/>
      <c r="M65" s="471"/>
      <c r="N65" s="591"/>
      <c r="O65" s="387"/>
    </row>
    <row r="66" spans="1:16" x14ac:dyDescent="0.3">
      <c r="A66" s="412"/>
      <c r="B66" s="413" t="s">
        <v>32</v>
      </c>
      <c r="C66" s="466"/>
      <c r="D66" s="466"/>
      <c r="E66" s="466"/>
      <c r="F66" s="466"/>
      <c r="G66" s="466"/>
      <c r="H66" s="466"/>
      <c r="I66" s="466"/>
      <c r="J66" s="466"/>
      <c r="K66" s="466"/>
      <c r="L66" s="466"/>
      <c r="M66" s="466"/>
      <c r="N66" s="437"/>
      <c r="O66" s="387"/>
    </row>
    <row r="67" spans="1:16" x14ac:dyDescent="0.3">
      <c r="A67" s="412"/>
      <c r="B67" s="413" t="s">
        <v>33</v>
      </c>
      <c r="C67" s="466"/>
      <c r="D67" s="466"/>
      <c r="E67" s="466"/>
      <c r="F67" s="466"/>
      <c r="G67" s="466"/>
      <c r="H67" s="466"/>
      <c r="I67" s="466"/>
      <c r="J67" s="466"/>
      <c r="K67" s="466"/>
      <c r="L67" s="466"/>
      <c r="M67" s="466"/>
      <c r="N67" s="437"/>
      <c r="O67" s="387"/>
    </row>
    <row r="68" spans="1:16" x14ac:dyDescent="0.3">
      <c r="A68" s="412"/>
      <c r="B68" s="413"/>
      <c r="C68" s="466"/>
      <c r="D68" s="466"/>
      <c r="E68" s="466"/>
      <c r="F68" s="466"/>
      <c r="G68" s="466"/>
      <c r="H68" s="466"/>
      <c r="I68" s="466"/>
      <c r="J68" s="466"/>
      <c r="K68" s="466"/>
      <c r="L68" s="466"/>
      <c r="M68" s="466"/>
      <c r="N68" s="437"/>
      <c r="O68" s="387"/>
    </row>
    <row r="69" spans="1:16" x14ac:dyDescent="0.3">
      <c r="A69" s="412"/>
      <c r="B69" s="413" t="s">
        <v>34</v>
      </c>
      <c r="C69" s="466"/>
      <c r="D69" s="466"/>
      <c r="E69" s="466"/>
      <c r="F69" s="466"/>
      <c r="G69" s="466"/>
      <c r="H69" s="466"/>
      <c r="I69" s="466"/>
      <c r="J69" s="466"/>
      <c r="K69" s="466"/>
      <c r="L69" s="466"/>
      <c r="M69" s="466"/>
      <c r="N69" s="437"/>
      <c r="O69" s="387"/>
    </row>
    <row r="70" spans="1:16" x14ac:dyDescent="0.3">
      <c r="A70" s="412"/>
      <c r="B70" s="413"/>
      <c r="C70" s="466"/>
      <c r="D70" s="466"/>
      <c r="E70" s="466"/>
      <c r="F70" s="466"/>
      <c r="G70" s="466"/>
      <c r="H70" s="466"/>
      <c r="I70" s="466"/>
      <c r="J70" s="466"/>
      <c r="K70" s="466"/>
      <c r="L70" s="466"/>
      <c r="M70" s="466"/>
      <c r="N70" s="437"/>
      <c r="O70" s="387"/>
    </row>
    <row r="71" spans="1:16" x14ac:dyDescent="0.3">
      <c r="A71" s="412"/>
      <c r="B71" s="413" t="s">
        <v>36</v>
      </c>
      <c r="C71" s="466">
        <v>0</v>
      </c>
      <c r="D71" s="466"/>
      <c r="E71" s="466">
        <v>0</v>
      </c>
      <c r="F71" s="466"/>
      <c r="G71" s="466"/>
      <c r="H71" s="466"/>
      <c r="I71" s="466"/>
      <c r="J71" s="466"/>
      <c r="K71" s="466"/>
      <c r="L71" s="466"/>
      <c r="M71" s="466">
        <v>0</v>
      </c>
      <c r="N71" s="437"/>
      <c r="O71" s="387"/>
    </row>
    <row r="72" spans="1:16" x14ac:dyDescent="0.3">
      <c r="A72" s="412"/>
      <c r="B72" s="413" t="s">
        <v>147</v>
      </c>
      <c r="C72" s="466">
        <f>59167</f>
        <v>59167</v>
      </c>
      <c r="D72" s="466"/>
      <c r="E72" s="466">
        <v>0</v>
      </c>
      <c r="F72" s="466"/>
      <c r="G72" s="466"/>
      <c r="H72" s="466"/>
      <c r="I72" s="466"/>
      <c r="J72" s="466"/>
      <c r="K72" s="466"/>
      <c r="L72" s="466"/>
      <c r="M72" s="466">
        <f>+E72+I72</f>
        <v>0</v>
      </c>
      <c r="N72" s="437"/>
      <c r="O72" s="387"/>
    </row>
    <row r="73" spans="1:16" x14ac:dyDescent="0.3">
      <c r="A73" s="412"/>
      <c r="B73" s="413" t="s">
        <v>171</v>
      </c>
      <c r="C73" s="466">
        <v>0</v>
      </c>
      <c r="D73" s="466"/>
      <c r="E73" s="466">
        <v>0</v>
      </c>
      <c r="F73" s="466"/>
      <c r="G73" s="466"/>
      <c r="H73" s="466"/>
      <c r="I73" s="466"/>
      <c r="J73" s="466"/>
      <c r="K73" s="466"/>
      <c r="L73" s="466"/>
      <c r="M73" s="466">
        <v>0</v>
      </c>
      <c r="N73" s="437"/>
      <c r="O73" s="387"/>
      <c r="P73" s="472"/>
    </row>
    <row r="74" spans="1:16" x14ac:dyDescent="0.3">
      <c r="A74" s="412"/>
      <c r="B74" s="413" t="s">
        <v>38</v>
      </c>
      <c r="C74" s="466">
        <v>0</v>
      </c>
      <c r="D74" s="466"/>
      <c r="E74" s="466">
        <v>0</v>
      </c>
      <c r="F74" s="466"/>
      <c r="G74" s="466"/>
      <c r="H74" s="466"/>
      <c r="I74" s="466"/>
      <c r="J74" s="466"/>
      <c r="K74" s="466"/>
      <c r="L74" s="466"/>
      <c r="M74" s="466">
        <v>0</v>
      </c>
      <c r="N74" s="437"/>
      <c r="O74" s="387"/>
      <c r="P74" s="472"/>
    </row>
    <row r="75" spans="1:16" x14ac:dyDescent="0.3">
      <c r="A75" s="412"/>
      <c r="B75" s="413" t="s">
        <v>39</v>
      </c>
      <c r="C75" s="466">
        <f>SUM(C62:C74)</f>
        <v>300000</v>
      </c>
      <c r="D75" s="466"/>
      <c r="E75" s="466">
        <f>SUM(E62:E74)</f>
        <v>36336</v>
      </c>
      <c r="F75" s="466"/>
      <c r="G75" s="466"/>
      <c r="H75" s="466"/>
      <c r="I75" s="466"/>
      <c r="J75" s="466"/>
      <c r="K75" s="466"/>
      <c r="L75" s="466"/>
      <c r="M75" s="466">
        <f>SUM(M62:M74)</f>
        <v>34137</v>
      </c>
      <c r="N75" s="437"/>
      <c r="O75" s="387"/>
    </row>
    <row r="76" spans="1:16" x14ac:dyDescent="0.3">
      <c r="A76" s="389"/>
      <c r="B76" s="473"/>
      <c r="C76" s="474"/>
      <c r="D76" s="474"/>
      <c r="E76" s="474"/>
      <c r="F76" s="474"/>
      <c r="G76" s="474"/>
      <c r="H76" s="474"/>
      <c r="I76" s="474"/>
      <c r="J76" s="474"/>
      <c r="K76" s="474"/>
      <c r="L76" s="474"/>
      <c r="M76" s="474"/>
      <c r="N76" s="594"/>
      <c r="O76" s="387"/>
    </row>
    <row r="77" spans="1:16" x14ac:dyDescent="0.3">
      <c r="A77" s="389"/>
      <c r="B77" s="401"/>
      <c r="C77" s="401"/>
      <c r="D77" s="401"/>
      <c r="E77" s="401"/>
      <c r="F77" s="401"/>
      <c r="G77" s="401"/>
      <c r="H77" s="401"/>
      <c r="I77" s="401"/>
      <c r="J77" s="401"/>
      <c r="K77" s="401"/>
      <c r="L77" s="401"/>
      <c r="M77" s="401"/>
      <c r="N77" s="594"/>
      <c r="O77" s="387"/>
    </row>
    <row r="78" spans="1:16" x14ac:dyDescent="0.3">
      <c r="A78" s="389"/>
      <c r="B78" s="408" t="s">
        <v>40</v>
      </c>
      <c r="C78" s="477" t="s">
        <v>120</v>
      </c>
      <c r="D78" s="478">
        <f>+K171</f>
        <v>43312</v>
      </c>
      <c r="E78" s="400"/>
      <c r="F78" s="400"/>
      <c r="G78" s="400"/>
      <c r="H78" s="400"/>
      <c r="I78" s="400"/>
      <c r="J78" s="404"/>
      <c r="K78" s="404" t="s">
        <v>133</v>
      </c>
      <c r="L78" s="404"/>
      <c r="M78" s="404" t="s">
        <v>143</v>
      </c>
      <c r="N78" s="594"/>
      <c r="O78" s="387"/>
    </row>
    <row r="79" spans="1:16" x14ac:dyDescent="0.3">
      <c r="A79" s="479"/>
      <c r="B79" s="413" t="s">
        <v>41</v>
      </c>
      <c r="C79" s="413"/>
      <c r="D79" s="413"/>
      <c r="E79" s="413"/>
      <c r="F79" s="413"/>
      <c r="G79" s="413"/>
      <c r="H79" s="413"/>
      <c r="I79" s="413"/>
      <c r="J79" s="413"/>
      <c r="K79" s="466">
        <f>+'Oct 2008'!K112</f>
        <v>0</v>
      </c>
      <c r="L79" s="413"/>
      <c r="M79" s="467">
        <v>0</v>
      </c>
      <c r="N79" s="437"/>
      <c r="O79" s="387"/>
    </row>
    <row r="80" spans="1:16" x14ac:dyDescent="0.3">
      <c r="A80" s="479"/>
      <c r="B80" s="413" t="s">
        <v>42</v>
      </c>
      <c r="C80" s="441" t="s">
        <v>207</v>
      </c>
      <c r="D80" s="480" t="s">
        <v>207</v>
      </c>
      <c r="E80" s="481"/>
      <c r="F80" s="413"/>
      <c r="G80" s="413"/>
      <c r="H80" s="413"/>
      <c r="I80" s="413"/>
      <c r="J80" s="413"/>
      <c r="K80" s="466">
        <f>2199+186</f>
        <v>2385</v>
      </c>
      <c r="L80" s="413"/>
      <c r="M80" s="467"/>
      <c r="N80" s="437"/>
      <c r="O80" s="387"/>
    </row>
    <row r="81" spans="1:16" x14ac:dyDescent="0.3">
      <c r="A81" s="479"/>
      <c r="B81" s="413" t="s">
        <v>204</v>
      </c>
      <c r="C81" s="441"/>
      <c r="D81" s="480"/>
      <c r="E81" s="481"/>
      <c r="F81" s="413"/>
      <c r="G81" s="413"/>
      <c r="H81" s="413"/>
      <c r="I81" s="413"/>
      <c r="J81" s="413"/>
      <c r="K81" s="466"/>
      <c r="L81" s="413"/>
      <c r="M81" s="467">
        <f>2230+3-1563</f>
        <v>670</v>
      </c>
      <c r="N81" s="437"/>
      <c r="O81" s="387"/>
    </row>
    <row r="82" spans="1:16" x14ac:dyDescent="0.3">
      <c r="A82" s="479"/>
      <c r="B82" s="413" t="s">
        <v>205</v>
      </c>
      <c r="C82" s="441"/>
      <c r="D82" s="480"/>
      <c r="E82" s="481"/>
      <c r="F82" s="413"/>
      <c r="G82" s="413"/>
      <c r="H82" s="413"/>
      <c r="I82" s="413"/>
      <c r="J82" s="413"/>
      <c r="K82" s="466"/>
      <c r="L82" s="413"/>
      <c r="M82" s="467">
        <v>56</v>
      </c>
      <c r="N82" s="437"/>
      <c r="O82" s="387"/>
    </row>
    <row r="83" spans="1:16" x14ac:dyDescent="0.3">
      <c r="A83" s="479"/>
      <c r="B83" s="413" t="s">
        <v>206</v>
      </c>
      <c r="C83" s="441"/>
      <c r="D83" s="480"/>
      <c r="E83" s="481"/>
      <c r="F83" s="413"/>
      <c r="G83" s="413"/>
      <c r="H83" s="413"/>
      <c r="I83" s="413"/>
      <c r="J83" s="413"/>
      <c r="K83" s="466"/>
      <c r="L83" s="413"/>
      <c r="M83" s="467">
        <v>20</v>
      </c>
      <c r="N83" s="437"/>
      <c r="O83" s="387"/>
      <c r="P83" s="472"/>
    </row>
    <row r="84" spans="1:16" x14ac:dyDescent="0.3">
      <c r="A84" s="479"/>
      <c r="B84" s="413" t="s">
        <v>44</v>
      </c>
      <c r="C84" s="413"/>
      <c r="D84" s="413"/>
      <c r="E84" s="413"/>
      <c r="F84" s="413"/>
      <c r="G84" s="413"/>
      <c r="H84" s="413"/>
      <c r="I84" s="413"/>
      <c r="J84" s="413"/>
      <c r="K84" s="466"/>
      <c r="L84" s="413"/>
      <c r="M84" s="467">
        <v>0</v>
      </c>
      <c r="N84" s="437"/>
      <c r="O84" s="387"/>
    </row>
    <row r="85" spans="1:16" x14ac:dyDescent="0.3">
      <c r="A85" s="479"/>
      <c r="B85" s="413" t="s">
        <v>45</v>
      </c>
      <c r="C85" s="413"/>
      <c r="D85" s="413"/>
      <c r="E85" s="413"/>
      <c r="F85" s="413"/>
      <c r="G85" s="413"/>
      <c r="H85" s="413"/>
      <c r="I85" s="413"/>
      <c r="J85" s="413"/>
      <c r="K85" s="466">
        <f>SUM(K79:K84)</f>
        <v>2385</v>
      </c>
      <c r="L85" s="413"/>
      <c r="M85" s="466">
        <f>SUM(M79:M84)</f>
        <v>746</v>
      </c>
      <c r="N85" s="437"/>
      <c r="O85" s="387"/>
    </row>
    <row r="86" spans="1:16" x14ac:dyDescent="0.3">
      <c r="A86" s="479"/>
      <c r="B86" s="413" t="s">
        <v>46</v>
      </c>
      <c r="C86" s="413"/>
      <c r="D86" s="413"/>
      <c r="E86" s="413"/>
      <c r="F86" s="413"/>
      <c r="G86" s="413"/>
      <c r="H86" s="413"/>
      <c r="I86" s="413"/>
      <c r="J86" s="413"/>
      <c r="K86" s="466">
        <f>-M86</f>
        <v>0</v>
      </c>
      <c r="L86" s="413"/>
      <c r="M86" s="467">
        <v>0</v>
      </c>
      <c r="N86" s="437"/>
      <c r="O86" s="387"/>
    </row>
    <row r="87" spans="1:16" x14ac:dyDescent="0.3">
      <c r="A87" s="479"/>
      <c r="B87" s="413" t="s">
        <v>47</v>
      </c>
      <c r="C87" s="413"/>
      <c r="D87" s="413"/>
      <c r="E87" s="413"/>
      <c r="F87" s="413"/>
      <c r="G87" s="413"/>
      <c r="H87" s="413"/>
      <c r="I87" s="413"/>
      <c r="J87" s="413"/>
      <c r="K87" s="466">
        <f>K85+K86</f>
        <v>2385</v>
      </c>
      <c r="L87" s="413"/>
      <c r="M87" s="466">
        <f>M85+M86</f>
        <v>746</v>
      </c>
      <c r="N87" s="437"/>
      <c r="O87" s="387"/>
      <c r="P87" s="482"/>
    </row>
    <row r="88" spans="1:16" x14ac:dyDescent="0.3">
      <c r="A88" s="479"/>
      <c r="B88" s="483" t="s">
        <v>48</v>
      </c>
      <c r="C88" s="483"/>
      <c r="D88" s="483"/>
      <c r="E88" s="413"/>
      <c r="F88" s="413"/>
      <c r="G88" s="413"/>
      <c r="H88" s="413"/>
      <c r="I88" s="413"/>
      <c r="J88" s="413"/>
      <c r="K88" s="466"/>
      <c r="L88" s="413"/>
      <c r="M88" s="467"/>
      <c r="N88" s="417"/>
      <c r="O88" s="387"/>
    </row>
    <row r="89" spans="1:16" x14ac:dyDescent="0.3">
      <c r="A89" s="479">
        <v>1</v>
      </c>
      <c r="B89" s="413" t="s">
        <v>49</v>
      </c>
      <c r="C89" s="413"/>
      <c r="D89" s="413"/>
      <c r="E89" s="413"/>
      <c r="F89" s="413"/>
      <c r="G89" s="413"/>
      <c r="H89" s="413"/>
      <c r="I89" s="413"/>
      <c r="J89" s="413"/>
      <c r="K89" s="413"/>
      <c r="L89" s="413"/>
      <c r="M89" s="467">
        <v>0</v>
      </c>
      <c r="N89" s="417"/>
      <c r="O89" s="387"/>
      <c r="P89" s="472"/>
    </row>
    <row r="90" spans="1:16" x14ac:dyDescent="0.3">
      <c r="A90" s="479">
        <v>2</v>
      </c>
      <c r="B90" s="413" t="s">
        <v>50</v>
      </c>
      <c r="C90" s="413"/>
      <c r="D90" s="413"/>
      <c r="E90" s="413"/>
      <c r="F90" s="413"/>
      <c r="G90" s="413"/>
      <c r="H90" s="413"/>
      <c r="I90" s="413"/>
      <c r="J90" s="413"/>
      <c r="K90" s="413"/>
      <c r="L90" s="413"/>
      <c r="M90" s="467">
        <v>-2</v>
      </c>
      <c r="N90" s="417"/>
      <c r="O90" s="387"/>
      <c r="P90" s="482"/>
    </row>
    <row r="91" spans="1:16" x14ac:dyDescent="0.3">
      <c r="A91" s="479">
        <v>3</v>
      </c>
      <c r="B91" s="413" t="s">
        <v>194</v>
      </c>
      <c r="C91" s="413"/>
      <c r="D91" s="413"/>
      <c r="E91" s="413"/>
      <c r="F91" s="413"/>
      <c r="G91" s="413"/>
      <c r="H91" s="413"/>
      <c r="I91" s="413"/>
      <c r="J91" s="413"/>
      <c r="K91" s="413"/>
      <c r="L91" s="413"/>
      <c r="M91" s="467">
        <f>-14-9-1</f>
        <v>-24</v>
      </c>
      <c r="N91" s="417"/>
      <c r="O91" s="387"/>
    </row>
    <row r="92" spans="1:16" x14ac:dyDescent="0.3">
      <c r="A92" s="484" t="s">
        <v>184</v>
      </c>
      <c r="B92" s="413" t="s">
        <v>146</v>
      </c>
      <c r="C92" s="413"/>
      <c r="D92" s="413"/>
      <c r="E92" s="413"/>
      <c r="F92" s="413"/>
      <c r="G92" s="413"/>
      <c r="H92" s="413"/>
      <c r="I92" s="413"/>
      <c r="J92" s="413"/>
      <c r="K92" s="413"/>
      <c r="L92" s="413"/>
      <c r="M92" s="467">
        <v>0</v>
      </c>
      <c r="N92" s="417"/>
      <c r="O92" s="387"/>
    </row>
    <row r="93" spans="1:16" x14ac:dyDescent="0.3">
      <c r="A93" s="484" t="s">
        <v>192</v>
      </c>
      <c r="B93" s="413" t="s">
        <v>51</v>
      </c>
      <c r="C93" s="413"/>
      <c r="D93" s="413"/>
      <c r="E93" s="413"/>
      <c r="F93" s="413"/>
      <c r="G93" s="413"/>
      <c r="H93" s="413"/>
      <c r="I93" s="413"/>
      <c r="J93" s="413"/>
      <c r="K93" s="413"/>
      <c r="L93" s="413"/>
      <c r="M93" s="467">
        <v>-51</v>
      </c>
      <c r="N93" s="417"/>
      <c r="O93" s="387"/>
    </row>
    <row r="94" spans="1:16" x14ac:dyDescent="0.3">
      <c r="A94" s="479">
        <v>5</v>
      </c>
      <c r="B94" s="413" t="s">
        <v>52</v>
      </c>
      <c r="C94" s="413"/>
      <c r="D94" s="413"/>
      <c r="E94" s="413"/>
      <c r="F94" s="413"/>
      <c r="G94" s="413"/>
      <c r="H94" s="413"/>
      <c r="I94" s="413"/>
      <c r="J94" s="413"/>
      <c r="K94" s="413"/>
      <c r="L94" s="413"/>
      <c r="M94" s="467">
        <v>-55</v>
      </c>
      <c r="N94" s="417"/>
      <c r="O94" s="387"/>
    </row>
    <row r="95" spans="1:16" x14ac:dyDescent="0.3">
      <c r="A95" s="479">
        <v>6</v>
      </c>
      <c r="B95" s="413" t="s">
        <v>172</v>
      </c>
      <c r="C95" s="413"/>
      <c r="D95" s="413"/>
      <c r="E95" s="413"/>
      <c r="F95" s="413"/>
      <c r="G95" s="413"/>
      <c r="H95" s="413"/>
      <c r="I95" s="413"/>
      <c r="J95" s="413"/>
      <c r="K95" s="413"/>
      <c r="L95" s="413"/>
      <c r="M95" s="467">
        <v>-44</v>
      </c>
      <c r="N95" s="417"/>
      <c r="O95" s="387"/>
    </row>
    <row r="96" spans="1:16" x14ac:dyDescent="0.3">
      <c r="A96" s="479">
        <v>7</v>
      </c>
      <c r="B96" s="413" t="s">
        <v>53</v>
      </c>
      <c r="C96" s="413"/>
      <c r="D96" s="413"/>
      <c r="E96" s="413"/>
      <c r="F96" s="413"/>
      <c r="G96" s="413"/>
      <c r="H96" s="413"/>
      <c r="I96" s="413"/>
      <c r="J96" s="413"/>
      <c r="K96" s="413"/>
      <c r="L96" s="413"/>
      <c r="M96" s="467">
        <v>-7</v>
      </c>
      <c r="N96" s="417"/>
      <c r="O96" s="387"/>
    </row>
    <row r="97" spans="1:16" x14ac:dyDescent="0.3">
      <c r="A97" s="479">
        <v>8</v>
      </c>
      <c r="B97" s="413" t="s">
        <v>69</v>
      </c>
      <c r="C97" s="413"/>
      <c r="D97" s="413"/>
      <c r="E97" s="413"/>
      <c r="F97" s="413"/>
      <c r="G97" s="413"/>
      <c r="H97" s="413"/>
      <c r="I97" s="413"/>
      <c r="J97" s="413"/>
      <c r="K97" s="466">
        <f>-M97</f>
        <v>-186</v>
      </c>
      <c r="L97" s="413"/>
      <c r="M97" s="467">
        <v>186</v>
      </c>
      <c r="N97" s="417"/>
      <c r="O97" s="387"/>
    </row>
    <row r="98" spans="1:16" x14ac:dyDescent="0.3">
      <c r="A98" s="479">
        <v>9</v>
      </c>
      <c r="B98" s="413" t="s">
        <v>193</v>
      </c>
      <c r="C98" s="413"/>
      <c r="D98" s="413"/>
      <c r="E98" s="413"/>
      <c r="F98" s="413"/>
      <c r="G98" s="413"/>
      <c r="H98" s="413"/>
      <c r="I98" s="413"/>
      <c r="J98" s="413"/>
      <c r="K98" s="413"/>
      <c r="L98" s="413"/>
      <c r="M98" s="467">
        <v>0</v>
      </c>
      <c r="N98" s="417"/>
      <c r="O98" s="387"/>
    </row>
    <row r="99" spans="1:16" x14ac:dyDescent="0.3">
      <c r="A99" s="479">
        <v>10</v>
      </c>
      <c r="B99" s="413" t="s">
        <v>54</v>
      </c>
      <c r="C99" s="413"/>
      <c r="D99" s="413"/>
      <c r="E99" s="413"/>
      <c r="F99" s="413"/>
      <c r="G99" s="413"/>
      <c r="H99" s="413"/>
      <c r="I99" s="413"/>
      <c r="J99" s="413"/>
      <c r="K99" s="413"/>
      <c r="L99" s="413"/>
      <c r="M99" s="467">
        <v>0</v>
      </c>
      <c r="N99" s="417"/>
      <c r="O99" s="387"/>
    </row>
    <row r="100" spans="1:16" x14ac:dyDescent="0.3">
      <c r="A100" s="479">
        <v>11</v>
      </c>
      <c r="B100" s="413" t="s">
        <v>55</v>
      </c>
      <c r="C100" s="413"/>
      <c r="D100" s="413"/>
      <c r="E100" s="413"/>
      <c r="F100" s="413"/>
      <c r="G100" s="413"/>
      <c r="H100" s="413"/>
      <c r="I100" s="413"/>
      <c r="J100" s="413"/>
      <c r="K100" s="413"/>
      <c r="L100" s="413"/>
      <c r="M100" s="467">
        <v>0</v>
      </c>
      <c r="N100" s="417"/>
      <c r="O100" s="387"/>
    </row>
    <row r="101" spans="1:16" x14ac:dyDescent="0.3">
      <c r="A101" s="479">
        <v>12</v>
      </c>
      <c r="B101" s="413" t="s">
        <v>173</v>
      </c>
      <c r="C101" s="413"/>
      <c r="D101" s="413"/>
      <c r="E101" s="413"/>
      <c r="F101" s="413"/>
      <c r="G101" s="413"/>
      <c r="H101" s="413"/>
      <c r="I101" s="413"/>
      <c r="J101" s="413"/>
      <c r="K101" s="413"/>
      <c r="L101" s="413"/>
      <c r="M101" s="467">
        <v>-13</v>
      </c>
      <c r="N101" s="417"/>
      <c r="O101" s="387"/>
    </row>
    <row r="102" spans="1:16" x14ac:dyDescent="0.3">
      <c r="A102" s="479">
        <v>13</v>
      </c>
      <c r="B102" s="413" t="s">
        <v>195</v>
      </c>
      <c r="C102" s="413"/>
      <c r="D102" s="413"/>
      <c r="E102" s="413"/>
      <c r="F102" s="413"/>
      <c r="G102" s="413"/>
      <c r="H102" s="413"/>
      <c r="I102" s="413"/>
      <c r="J102" s="413"/>
      <c r="K102" s="413"/>
      <c r="L102" s="413"/>
      <c r="M102" s="467">
        <f>-M87-SUM(M89:M101)</f>
        <v>-736</v>
      </c>
      <c r="N102" s="417"/>
      <c r="O102" s="387"/>
    </row>
    <row r="103" spans="1:16" x14ac:dyDescent="0.3">
      <c r="A103" s="412"/>
      <c r="B103" s="485" t="s">
        <v>56</v>
      </c>
      <c r="C103" s="486"/>
      <c r="D103" s="486"/>
      <c r="E103" s="416"/>
      <c r="F103" s="416"/>
      <c r="G103" s="416"/>
      <c r="H103" s="416"/>
      <c r="I103" s="416"/>
      <c r="J103" s="416"/>
      <c r="K103" s="416"/>
      <c r="L103" s="416"/>
      <c r="M103" s="487"/>
      <c r="N103" s="417"/>
      <c r="O103" s="387"/>
    </row>
    <row r="104" spans="1:16" x14ac:dyDescent="0.3">
      <c r="A104" s="412"/>
      <c r="B104" s="413" t="s">
        <v>57</v>
      </c>
      <c r="C104" s="483"/>
      <c r="D104" s="483"/>
      <c r="E104" s="413"/>
      <c r="F104" s="413"/>
      <c r="G104" s="413"/>
      <c r="H104" s="413"/>
      <c r="I104" s="413"/>
      <c r="J104" s="413"/>
      <c r="K104" s="466">
        <f>-K155</f>
        <v>0</v>
      </c>
      <c r="L104" s="466"/>
      <c r="M104" s="467"/>
      <c r="N104" s="417"/>
      <c r="O104" s="387"/>
    </row>
    <row r="105" spans="1:16" x14ac:dyDescent="0.3">
      <c r="A105" s="412"/>
      <c r="B105" s="413" t="s">
        <v>58</v>
      </c>
      <c r="C105" s="413"/>
      <c r="D105" s="413"/>
      <c r="E105" s="413"/>
      <c r="F105" s="413"/>
      <c r="G105" s="413"/>
      <c r="H105" s="413"/>
      <c r="I105" s="413"/>
      <c r="J105" s="413"/>
      <c r="K105" s="466">
        <f>-I155</f>
        <v>0</v>
      </c>
      <c r="L105" s="466"/>
      <c r="M105" s="467"/>
      <c r="N105" s="417"/>
      <c r="O105" s="387"/>
      <c r="P105" s="472"/>
    </row>
    <row r="106" spans="1:16" x14ac:dyDescent="0.3">
      <c r="A106" s="412"/>
      <c r="B106" s="413" t="s">
        <v>187</v>
      </c>
      <c r="C106" s="413"/>
      <c r="D106" s="413"/>
      <c r="E106" s="413"/>
      <c r="F106" s="413"/>
      <c r="G106" s="413"/>
      <c r="H106" s="413"/>
      <c r="I106" s="413"/>
      <c r="J106" s="413"/>
      <c r="K106" s="466">
        <v>0</v>
      </c>
      <c r="L106" s="466"/>
      <c r="M106" s="467"/>
      <c r="N106" s="417"/>
      <c r="O106" s="387"/>
    </row>
    <row r="107" spans="1:16" x14ac:dyDescent="0.3">
      <c r="A107" s="412"/>
      <c r="B107" s="413" t="s">
        <v>185</v>
      </c>
      <c r="C107" s="413"/>
      <c r="D107" s="413"/>
      <c r="E107" s="413"/>
      <c r="F107" s="413"/>
      <c r="G107" s="413"/>
      <c r="H107" s="413"/>
      <c r="I107" s="413"/>
      <c r="J107" s="413"/>
      <c r="K107" s="466">
        <v>-1186</v>
      </c>
      <c r="L107" s="466"/>
      <c r="M107" s="467"/>
      <c r="N107" s="417"/>
      <c r="O107" s="387"/>
    </row>
    <row r="108" spans="1:16" x14ac:dyDescent="0.3">
      <c r="A108" s="412"/>
      <c r="B108" s="413" t="s">
        <v>59</v>
      </c>
      <c r="C108" s="413"/>
      <c r="D108" s="413"/>
      <c r="E108" s="413"/>
      <c r="F108" s="413"/>
      <c r="G108" s="413"/>
      <c r="H108" s="413"/>
      <c r="I108" s="413"/>
      <c r="J108" s="413"/>
      <c r="K108" s="466">
        <v>-617</v>
      </c>
      <c r="L108" s="466"/>
      <c r="M108" s="467"/>
      <c r="N108" s="417"/>
      <c r="O108" s="387"/>
    </row>
    <row r="109" spans="1:16" x14ac:dyDescent="0.3">
      <c r="A109" s="412"/>
      <c r="B109" s="413" t="s">
        <v>186</v>
      </c>
      <c r="C109" s="413"/>
      <c r="D109" s="413"/>
      <c r="E109" s="413"/>
      <c r="F109" s="413"/>
      <c r="G109" s="413"/>
      <c r="H109" s="413"/>
      <c r="I109" s="413"/>
      <c r="J109" s="413"/>
      <c r="K109" s="466">
        <v>-396</v>
      </c>
      <c r="L109" s="466"/>
      <c r="M109" s="467"/>
      <c r="N109" s="417"/>
      <c r="O109" s="387"/>
    </row>
    <row r="110" spans="1:16" x14ac:dyDescent="0.3">
      <c r="A110" s="412"/>
      <c r="B110" s="413" t="s">
        <v>60</v>
      </c>
      <c r="C110" s="413"/>
      <c r="D110" s="413"/>
      <c r="E110" s="413"/>
      <c r="F110" s="413"/>
      <c r="G110" s="413"/>
      <c r="H110" s="413"/>
      <c r="I110" s="413"/>
      <c r="J110" s="413"/>
      <c r="K110" s="466">
        <f>+K105+K106+K107+K108+K109</f>
        <v>-2199</v>
      </c>
      <c r="L110" s="466"/>
      <c r="M110" s="466">
        <f>SUM(M88:M109)</f>
        <v>-746</v>
      </c>
      <c r="N110" s="417"/>
      <c r="O110" s="387"/>
    </row>
    <row r="111" spans="1:16" x14ac:dyDescent="0.3">
      <c r="A111" s="412"/>
      <c r="B111" s="413" t="s">
        <v>61</v>
      </c>
      <c r="C111" s="413"/>
      <c r="D111" s="413"/>
      <c r="E111" s="413"/>
      <c r="F111" s="413"/>
      <c r="G111" s="413"/>
      <c r="H111" s="413"/>
      <c r="I111" s="413"/>
      <c r="J111" s="413"/>
      <c r="K111" s="466">
        <f>K87+K110+K97</f>
        <v>0</v>
      </c>
      <c r="L111" s="466"/>
      <c r="M111" s="466">
        <f>M87+M110</f>
        <v>0</v>
      </c>
      <c r="N111" s="417"/>
      <c r="O111" s="387"/>
    </row>
    <row r="112" spans="1:16" x14ac:dyDescent="0.3">
      <c r="A112" s="389"/>
      <c r="B112" s="475"/>
      <c r="C112" s="475"/>
      <c r="D112" s="475"/>
      <c r="E112" s="475"/>
      <c r="F112" s="475"/>
      <c r="G112" s="475"/>
      <c r="H112" s="475"/>
      <c r="I112" s="475"/>
      <c r="J112" s="475"/>
      <c r="K112" s="488"/>
      <c r="L112" s="488"/>
      <c r="M112" s="488"/>
      <c r="N112" s="591"/>
      <c r="O112" s="387"/>
    </row>
    <row r="113" spans="1:15" x14ac:dyDescent="0.3">
      <c r="A113" s="389"/>
      <c r="B113" s="476"/>
      <c r="C113" s="476"/>
      <c r="D113" s="476"/>
      <c r="E113" s="476"/>
      <c r="F113" s="476"/>
      <c r="G113" s="476"/>
      <c r="H113" s="476"/>
      <c r="I113" s="476"/>
      <c r="J113" s="476"/>
      <c r="K113" s="476"/>
      <c r="L113" s="476"/>
      <c r="M113" s="489"/>
      <c r="N113" s="591"/>
      <c r="O113" s="387"/>
    </row>
    <row r="114" spans="1:15" ht="18.600000000000001" thickBot="1" x14ac:dyDescent="0.4">
      <c r="A114" s="453"/>
      <c r="B114" s="454" t="str">
        <f>B54</f>
        <v>PSF1 INVESTOR REPORT QUARTER ENDING JULY 2018</v>
      </c>
      <c r="C114" s="490"/>
      <c r="D114" s="490"/>
      <c r="E114" s="490"/>
      <c r="F114" s="490"/>
      <c r="G114" s="490"/>
      <c r="H114" s="490"/>
      <c r="I114" s="490"/>
      <c r="J114" s="490"/>
      <c r="K114" s="490"/>
      <c r="L114" s="490"/>
      <c r="M114" s="491"/>
      <c r="N114" s="457"/>
      <c r="O114" s="387"/>
    </row>
    <row r="115" spans="1:15" x14ac:dyDescent="0.3">
      <c r="A115" s="492"/>
      <c r="B115" s="493" t="s">
        <v>62</v>
      </c>
      <c r="C115" s="494"/>
      <c r="D115" s="494"/>
      <c r="E115" s="495"/>
      <c r="F115" s="495"/>
      <c r="G115" s="495"/>
      <c r="H115" s="495"/>
      <c r="I115" s="495"/>
      <c r="J115" s="495"/>
      <c r="K115" s="495"/>
      <c r="L115" s="495"/>
      <c r="M115" s="496"/>
      <c r="N115" s="595"/>
      <c r="O115" s="387"/>
    </row>
    <row r="116" spans="1:15" x14ac:dyDescent="0.3">
      <c r="A116" s="389"/>
      <c r="B116" s="497"/>
      <c r="C116" s="399"/>
      <c r="D116" s="399"/>
      <c r="E116" s="391"/>
      <c r="F116" s="391"/>
      <c r="G116" s="391"/>
      <c r="H116" s="391"/>
      <c r="I116" s="391"/>
      <c r="J116" s="391"/>
      <c r="K116" s="391"/>
      <c r="L116" s="391"/>
      <c r="M116" s="461"/>
      <c r="N116" s="591"/>
      <c r="O116" s="387"/>
    </row>
    <row r="117" spans="1:15" x14ac:dyDescent="0.3">
      <c r="A117" s="389"/>
      <c r="B117" s="498" t="s">
        <v>63</v>
      </c>
      <c r="C117" s="399"/>
      <c r="D117" s="399"/>
      <c r="E117" s="391"/>
      <c r="F117" s="391"/>
      <c r="G117" s="391"/>
      <c r="H117" s="391"/>
      <c r="I117" s="391"/>
      <c r="J117" s="391"/>
      <c r="K117" s="391"/>
      <c r="L117" s="391"/>
      <c r="M117" s="461"/>
      <c r="N117" s="591"/>
      <c r="O117" s="387"/>
    </row>
    <row r="118" spans="1:15" x14ac:dyDescent="0.3">
      <c r="A118" s="412"/>
      <c r="B118" s="413" t="s">
        <v>64</v>
      </c>
      <c r="C118" s="413"/>
      <c r="D118" s="413"/>
      <c r="E118" s="413"/>
      <c r="F118" s="413"/>
      <c r="G118" s="413"/>
      <c r="H118" s="413"/>
      <c r="I118" s="413"/>
      <c r="J118" s="413"/>
      <c r="K118" s="413"/>
      <c r="L118" s="413"/>
      <c r="M118" s="467">
        <f>+M30*0.045</f>
        <v>13500</v>
      </c>
      <c r="N118" s="437"/>
      <c r="O118" s="387"/>
    </row>
    <row r="119" spans="1:15" x14ac:dyDescent="0.3">
      <c r="A119" s="412"/>
      <c r="B119" s="413" t="s">
        <v>65</v>
      </c>
      <c r="C119" s="413"/>
      <c r="D119" s="413"/>
      <c r="E119" s="413"/>
      <c r="F119" s="413"/>
      <c r="G119" s="413"/>
      <c r="H119" s="413"/>
      <c r="I119" s="413"/>
      <c r="J119" s="413"/>
      <c r="K119" s="413"/>
      <c r="L119" s="413"/>
      <c r="M119" s="467">
        <v>15900</v>
      </c>
      <c r="N119" s="437"/>
      <c r="O119" s="387"/>
    </row>
    <row r="120" spans="1:15" x14ac:dyDescent="0.3">
      <c r="A120" s="412"/>
      <c r="B120" s="413" t="s">
        <v>66</v>
      </c>
      <c r="C120" s="413"/>
      <c r="D120" s="413"/>
      <c r="E120" s="413"/>
      <c r="F120" s="413"/>
      <c r="G120" s="413"/>
      <c r="H120" s="413"/>
      <c r="I120" s="413"/>
      <c r="J120" s="413"/>
      <c r="K120" s="413"/>
      <c r="L120" s="413"/>
      <c r="M120" s="467">
        <v>0</v>
      </c>
      <c r="N120" s="437"/>
      <c r="O120" s="387"/>
    </row>
    <row r="121" spans="1:15" x14ac:dyDescent="0.3">
      <c r="A121" s="412"/>
      <c r="B121" s="413" t="s">
        <v>67</v>
      </c>
      <c r="C121" s="413"/>
      <c r="D121" s="413"/>
      <c r="E121" s="413"/>
      <c r="F121" s="413"/>
      <c r="G121" s="413"/>
      <c r="H121" s="413"/>
      <c r="I121" s="413"/>
      <c r="J121" s="413"/>
      <c r="K121" s="413"/>
      <c r="L121" s="413"/>
      <c r="M121" s="467">
        <v>0</v>
      </c>
      <c r="N121" s="437"/>
      <c r="O121" s="387"/>
    </row>
    <row r="122" spans="1:15" x14ac:dyDescent="0.3">
      <c r="A122" s="412"/>
      <c r="B122" s="413" t="s">
        <v>68</v>
      </c>
      <c r="C122" s="413"/>
      <c r="D122" s="413"/>
      <c r="E122" s="413"/>
      <c r="F122" s="413"/>
      <c r="G122" s="413"/>
      <c r="H122" s="413"/>
      <c r="I122" s="413"/>
      <c r="J122" s="413"/>
      <c r="K122" s="413"/>
      <c r="L122" s="413"/>
      <c r="M122" s="467">
        <v>0</v>
      </c>
      <c r="N122" s="437"/>
      <c r="O122" s="387"/>
    </row>
    <row r="123" spans="1:15" x14ac:dyDescent="0.3">
      <c r="A123" s="412"/>
      <c r="B123" s="413" t="s">
        <v>51</v>
      </c>
      <c r="C123" s="413"/>
      <c r="D123" s="413"/>
      <c r="E123" s="413"/>
      <c r="F123" s="413"/>
      <c r="G123" s="413"/>
      <c r="H123" s="413"/>
      <c r="I123" s="413"/>
      <c r="J123" s="413"/>
      <c r="K123" s="413"/>
      <c r="L123" s="413"/>
      <c r="M123" s="467">
        <v>0</v>
      </c>
      <c r="N123" s="437"/>
      <c r="O123" s="387"/>
    </row>
    <row r="124" spans="1:15" x14ac:dyDescent="0.3">
      <c r="A124" s="412"/>
      <c r="B124" s="413" t="s">
        <v>52</v>
      </c>
      <c r="C124" s="413"/>
      <c r="D124" s="413"/>
      <c r="E124" s="413"/>
      <c r="F124" s="413"/>
      <c r="G124" s="413"/>
      <c r="H124" s="413"/>
      <c r="I124" s="413"/>
      <c r="J124" s="413"/>
      <c r="K124" s="413"/>
      <c r="L124" s="413"/>
      <c r="M124" s="467">
        <v>0</v>
      </c>
      <c r="N124" s="437"/>
      <c r="O124" s="387"/>
    </row>
    <row r="125" spans="1:15" x14ac:dyDescent="0.3">
      <c r="A125" s="412"/>
      <c r="B125" s="413" t="s">
        <v>172</v>
      </c>
      <c r="C125" s="413"/>
      <c r="D125" s="413"/>
      <c r="E125" s="413"/>
      <c r="F125" s="413"/>
      <c r="G125" s="413"/>
      <c r="H125" s="413"/>
      <c r="I125" s="413"/>
      <c r="J125" s="413"/>
      <c r="K125" s="413"/>
      <c r="L125" s="413"/>
      <c r="M125" s="467">
        <v>0</v>
      </c>
      <c r="N125" s="437"/>
      <c r="O125" s="387"/>
    </row>
    <row r="126" spans="1:15" x14ac:dyDescent="0.3">
      <c r="A126" s="412"/>
      <c r="B126" s="413" t="s">
        <v>69</v>
      </c>
      <c r="C126" s="413"/>
      <c r="D126" s="413"/>
      <c r="E126" s="413"/>
      <c r="F126" s="413"/>
      <c r="G126" s="413"/>
      <c r="H126" s="413"/>
      <c r="I126" s="413"/>
      <c r="J126" s="413"/>
      <c r="K126" s="413"/>
      <c r="L126" s="413"/>
      <c r="M126" s="467">
        <v>0</v>
      </c>
      <c r="N126" s="437"/>
      <c r="O126" s="387"/>
    </row>
    <row r="127" spans="1:15" x14ac:dyDescent="0.3">
      <c r="A127" s="412"/>
      <c r="B127" s="413" t="s">
        <v>193</v>
      </c>
      <c r="C127" s="413"/>
      <c r="D127" s="413"/>
      <c r="E127" s="413"/>
      <c r="F127" s="413"/>
      <c r="G127" s="413"/>
      <c r="H127" s="413"/>
      <c r="I127" s="413"/>
      <c r="J127" s="413"/>
      <c r="K127" s="413"/>
      <c r="L127" s="413"/>
      <c r="M127" s="467">
        <f>-M98</f>
        <v>0</v>
      </c>
      <c r="N127" s="437"/>
      <c r="O127" s="387"/>
    </row>
    <row r="128" spans="1:15" x14ac:dyDescent="0.3">
      <c r="A128" s="412"/>
      <c r="B128" s="413" t="s">
        <v>258</v>
      </c>
      <c r="C128" s="413"/>
      <c r="D128" s="413"/>
      <c r="E128" s="413"/>
      <c r="F128" s="413"/>
      <c r="G128" s="413"/>
      <c r="H128" s="413"/>
      <c r="I128" s="413"/>
      <c r="J128" s="413"/>
      <c r="K128" s="413"/>
      <c r="L128" s="413"/>
      <c r="M128" s="467">
        <v>0</v>
      </c>
      <c r="N128" s="437"/>
      <c r="O128" s="387"/>
    </row>
    <row r="129" spans="1:15" x14ac:dyDescent="0.3">
      <c r="A129" s="412"/>
      <c r="B129" s="413" t="s">
        <v>70</v>
      </c>
      <c r="C129" s="413"/>
      <c r="D129" s="413"/>
      <c r="E129" s="413"/>
      <c r="F129" s="413"/>
      <c r="G129" s="413"/>
      <c r="H129" s="413"/>
      <c r="I129" s="413"/>
      <c r="J129" s="413"/>
      <c r="K129" s="413"/>
      <c r="L129" s="413"/>
      <c r="M129" s="467">
        <f>SUM(M119:M128)</f>
        <v>15900</v>
      </c>
      <c r="N129" s="437"/>
      <c r="O129" s="387"/>
    </row>
    <row r="130" spans="1:15" x14ac:dyDescent="0.3">
      <c r="A130" s="389"/>
      <c r="B130" s="448"/>
      <c r="C130" s="448"/>
      <c r="D130" s="448"/>
      <c r="E130" s="448"/>
      <c r="F130" s="448"/>
      <c r="G130" s="448"/>
      <c r="H130" s="448"/>
      <c r="I130" s="448"/>
      <c r="J130" s="448"/>
      <c r="K130" s="448"/>
      <c r="L130" s="448"/>
      <c r="M130" s="499"/>
      <c r="N130" s="591"/>
      <c r="O130" s="387"/>
    </row>
    <row r="131" spans="1:15" x14ac:dyDescent="0.3">
      <c r="A131" s="389"/>
      <c r="B131" s="498" t="s">
        <v>37</v>
      </c>
      <c r="C131" s="391"/>
      <c r="D131" s="391"/>
      <c r="E131" s="391"/>
      <c r="F131" s="391"/>
      <c r="G131" s="391"/>
      <c r="H131" s="391"/>
      <c r="I131" s="391"/>
      <c r="J131" s="391"/>
      <c r="K131" s="391"/>
      <c r="L131" s="391"/>
      <c r="M131" s="461"/>
      <c r="N131" s="591"/>
      <c r="O131" s="387"/>
    </row>
    <row r="132" spans="1:15" x14ac:dyDescent="0.3">
      <c r="A132" s="412"/>
      <c r="B132" s="413" t="s">
        <v>71</v>
      </c>
      <c r="C132" s="413"/>
      <c r="D132" s="413"/>
      <c r="E132" s="500"/>
      <c r="F132" s="413"/>
      <c r="G132" s="413"/>
      <c r="H132" s="413"/>
      <c r="I132" s="413"/>
      <c r="J132" s="413"/>
      <c r="K132" s="413"/>
      <c r="L132" s="413"/>
      <c r="M132" s="501" t="s">
        <v>136</v>
      </c>
      <c r="N132" s="437"/>
      <c r="O132" s="387"/>
    </row>
    <row r="133" spans="1:15" x14ac:dyDescent="0.3">
      <c r="A133" s="412"/>
      <c r="B133" s="413" t="s">
        <v>72</v>
      </c>
      <c r="C133" s="413"/>
      <c r="D133" s="413"/>
      <c r="E133" s="413"/>
      <c r="F133" s="413"/>
      <c r="G133" s="413"/>
      <c r="H133" s="413"/>
      <c r="I133" s="413"/>
      <c r="J133" s="413"/>
      <c r="K133" s="413"/>
      <c r="L133" s="413"/>
      <c r="M133" s="501" t="s">
        <v>136</v>
      </c>
      <c r="N133" s="437"/>
      <c r="O133" s="387"/>
    </row>
    <row r="134" spans="1:15" x14ac:dyDescent="0.3">
      <c r="A134" s="412"/>
      <c r="B134" s="413" t="s">
        <v>73</v>
      </c>
      <c r="C134" s="413"/>
      <c r="D134" s="413"/>
      <c r="E134" s="413"/>
      <c r="F134" s="413"/>
      <c r="G134" s="413"/>
      <c r="H134" s="413"/>
      <c r="I134" s="413"/>
      <c r="J134" s="413"/>
      <c r="K134" s="413"/>
      <c r="L134" s="413"/>
      <c r="M134" s="501" t="s">
        <v>136</v>
      </c>
      <c r="N134" s="437"/>
      <c r="O134" s="387"/>
    </row>
    <row r="135" spans="1:15" x14ac:dyDescent="0.3">
      <c r="A135" s="412"/>
      <c r="B135" s="413" t="s">
        <v>74</v>
      </c>
      <c r="C135" s="413"/>
      <c r="D135" s="413"/>
      <c r="E135" s="413"/>
      <c r="F135" s="413"/>
      <c r="G135" s="413"/>
      <c r="H135" s="413"/>
      <c r="I135" s="413"/>
      <c r="J135" s="413"/>
      <c r="K135" s="413"/>
      <c r="L135" s="413"/>
      <c r="M135" s="501" t="s">
        <v>136</v>
      </c>
      <c r="N135" s="437"/>
      <c r="O135" s="387"/>
    </row>
    <row r="136" spans="1:15" x14ac:dyDescent="0.3">
      <c r="A136" s="389"/>
      <c r="B136" s="448"/>
      <c r="C136" s="448"/>
      <c r="D136" s="448"/>
      <c r="E136" s="448"/>
      <c r="F136" s="448"/>
      <c r="G136" s="448"/>
      <c r="H136" s="448"/>
      <c r="I136" s="448"/>
      <c r="J136" s="448"/>
      <c r="K136" s="448"/>
      <c r="L136" s="448"/>
      <c r="M136" s="499"/>
      <c r="N136" s="591"/>
      <c r="O136" s="387"/>
    </row>
    <row r="137" spans="1:15" x14ac:dyDescent="0.3">
      <c r="A137" s="389"/>
      <c r="B137" s="498" t="s">
        <v>75</v>
      </c>
      <c r="C137" s="399"/>
      <c r="D137" s="399"/>
      <c r="E137" s="391"/>
      <c r="F137" s="391"/>
      <c r="G137" s="391"/>
      <c r="H137" s="391"/>
      <c r="I137" s="391"/>
      <c r="J137" s="391"/>
      <c r="K137" s="391"/>
      <c r="L137" s="391"/>
      <c r="M137" s="502"/>
      <c r="N137" s="591"/>
      <c r="O137" s="387"/>
    </row>
    <row r="138" spans="1:15" x14ac:dyDescent="0.3">
      <c r="A138" s="412"/>
      <c r="B138" s="413" t="s">
        <v>76</v>
      </c>
      <c r="C138" s="413"/>
      <c r="D138" s="413"/>
      <c r="E138" s="413"/>
      <c r="F138" s="413"/>
      <c r="G138" s="413"/>
      <c r="H138" s="413"/>
      <c r="I138" s="413"/>
      <c r="J138" s="413"/>
      <c r="K138" s="413"/>
      <c r="L138" s="413"/>
      <c r="M138" s="467">
        <v>0</v>
      </c>
      <c r="N138" s="437"/>
      <c r="O138" s="387"/>
    </row>
    <row r="139" spans="1:15" x14ac:dyDescent="0.3">
      <c r="A139" s="412"/>
      <c r="B139" s="413" t="s">
        <v>190</v>
      </c>
      <c r="C139" s="413"/>
      <c r="D139" s="413"/>
      <c r="E139" s="413"/>
      <c r="F139" s="413"/>
      <c r="G139" s="413"/>
      <c r="H139" s="413"/>
      <c r="I139" s="413"/>
      <c r="J139" s="413"/>
      <c r="K139" s="413"/>
      <c r="L139" s="413"/>
      <c r="M139" s="467">
        <v>-84</v>
      </c>
      <c r="N139" s="437"/>
      <c r="O139" s="387"/>
    </row>
    <row r="140" spans="1:15" x14ac:dyDescent="0.3">
      <c r="A140" s="412"/>
      <c r="B140" s="413" t="s">
        <v>180</v>
      </c>
      <c r="C140" s="413"/>
      <c r="D140" s="413"/>
      <c r="E140" s="413"/>
      <c r="F140" s="413"/>
      <c r="G140" s="413"/>
      <c r="H140" s="413"/>
      <c r="I140" s="413"/>
      <c r="J140" s="413"/>
      <c r="K140" s="413"/>
      <c r="L140" s="413"/>
      <c r="M140" s="467">
        <f>-112+10</f>
        <v>-102</v>
      </c>
      <c r="N140" s="437"/>
      <c r="O140" s="387"/>
    </row>
    <row r="141" spans="1:15" x14ac:dyDescent="0.3">
      <c r="A141" s="412"/>
      <c r="B141" s="413" t="s">
        <v>77</v>
      </c>
      <c r="C141" s="413"/>
      <c r="D141" s="413"/>
      <c r="E141" s="413"/>
      <c r="F141" s="413"/>
      <c r="G141" s="413"/>
      <c r="H141" s="413"/>
      <c r="I141" s="413"/>
      <c r="J141" s="413"/>
      <c r="K141" s="413"/>
      <c r="L141" s="413"/>
      <c r="M141" s="467">
        <f>M139+M138+M140</f>
        <v>-186</v>
      </c>
      <c r="N141" s="437"/>
      <c r="O141" s="387"/>
    </row>
    <row r="142" spans="1:15" x14ac:dyDescent="0.3">
      <c r="A142" s="412"/>
      <c r="B142" s="413" t="s">
        <v>183</v>
      </c>
      <c r="C142" s="413"/>
      <c r="D142" s="413"/>
      <c r="E142" s="413"/>
      <c r="F142" s="413"/>
      <c r="G142" s="413"/>
      <c r="H142" s="413"/>
      <c r="I142" s="444"/>
      <c r="J142" s="413"/>
      <c r="K142" s="413"/>
      <c r="L142" s="413"/>
      <c r="M142" s="467">
        <f>M97</f>
        <v>186</v>
      </c>
      <c r="N142" s="437"/>
      <c r="O142" s="387"/>
    </row>
    <row r="143" spans="1:15" x14ac:dyDescent="0.3">
      <c r="A143" s="412"/>
      <c r="B143" s="413" t="s">
        <v>78</v>
      </c>
      <c r="C143" s="413"/>
      <c r="D143" s="413"/>
      <c r="E143" s="413"/>
      <c r="F143" s="413"/>
      <c r="G143" s="413"/>
      <c r="H143" s="413"/>
      <c r="I143" s="413"/>
      <c r="J143" s="413"/>
      <c r="K143" s="413"/>
      <c r="L143" s="413"/>
      <c r="M143" s="467">
        <f>M141+M142</f>
        <v>0</v>
      </c>
      <c r="N143" s="437"/>
      <c r="O143" s="387"/>
    </row>
    <row r="144" spans="1:15" ht="16.2" thickBot="1" x14ac:dyDescent="0.35">
      <c r="A144" s="389"/>
      <c r="B144" s="448"/>
      <c r="C144" s="448"/>
      <c r="D144" s="448"/>
      <c r="E144" s="448"/>
      <c r="F144" s="448"/>
      <c r="G144" s="448"/>
      <c r="H144" s="448"/>
      <c r="I144" s="448"/>
      <c r="J144" s="448"/>
      <c r="K144" s="448"/>
      <c r="L144" s="448"/>
      <c r="M144" s="499"/>
      <c r="N144" s="591"/>
      <c r="O144" s="387"/>
    </row>
    <row r="145" spans="1:16" x14ac:dyDescent="0.3">
      <c r="A145" s="383"/>
      <c r="B145" s="386"/>
      <c r="C145" s="386"/>
      <c r="D145" s="386"/>
      <c r="E145" s="386"/>
      <c r="F145" s="386"/>
      <c r="G145" s="386"/>
      <c r="H145" s="386"/>
      <c r="I145" s="386"/>
      <c r="J145" s="386"/>
      <c r="K145" s="386"/>
      <c r="L145" s="386"/>
      <c r="M145" s="503"/>
      <c r="N145" s="590"/>
      <c r="O145" s="387"/>
    </row>
    <row r="146" spans="1:16" x14ac:dyDescent="0.3">
      <c r="A146" s="389"/>
      <c r="B146" s="498" t="s">
        <v>79</v>
      </c>
      <c r="C146" s="399"/>
      <c r="D146" s="399"/>
      <c r="E146" s="391"/>
      <c r="F146" s="391"/>
      <c r="G146" s="391"/>
      <c r="H146" s="391"/>
      <c r="I146" s="391"/>
      <c r="J146" s="391"/>
      <c r="K146" s="391"/>
      <c r="L146" s="391"/>
      <c r="M146" s="461"/>
      <c r="N146" s="591"/>
      <c r="O146" s="387"/>
    </row>
    <row r="147" spans="1:16" x14ac:dyDescent="0.3">
      <c r="A147" s="389"/>
      <c r="B147" s="497"/>
      <c r="C147" s="399"/>
      <c r="D147" s="399"/>
      <c r="E147" s="391"/>
      <c r="F147" s="391"/>
      <c r="G147" s="391"/>
      <c r="H147" s="391"/>
      <c r="I147" s="391"/>
      <c r="J147" s="391"/>
      <c r="K147" s="391"/>
      <c r="L147" s="391"/>
      <c r="M147" s="461"/>
      <c r="N147" s="591"/>
      <c r="O147" s="387"/>
    </row>
    <row r="148" spans="1:16" x14ac:dyDescent="0.3">
      <c r="A148" s="504"/>
      <c r="B148" s="505" t="s">
        <v>188</v>
      </c>
      <c r="C148" s="506"/>
      <c r="D148" s="506"/>
      <c r="E148" s="505"/>
      <c r="F148" s="505"/>
      <c r="G148" s="505"/>
      <c r="H148" s="505"/>
      <c r="I148" s="505"/>
      <c r="J148" s="505"/>
      <c r="K148" s="505"/>
      <c r="L148" s="505"/>
      <c r="M148" s="507">
        <f>+M62+M72+M73</f>
        <v>34137</v>
      </c>
      <c r="N148" s="508"/>
      <c r="O148" s="387"/>
      <c r="P148" s="472"/>
    </row>
    <row r="149" spans="1:16" x14ac:dyDescent="0.3">
      <c r="A149" s="412"/>
      <c r="B149" s="413" t="s">
        <v>80</v>
      </c>
      <c r="C149" s="419"/>
      <c r="D149" s="419"/>
      <c r="E149" s="413"/>
      <c r="F149" s="413"/>
      <c r="G149" s="413"/>
      <c r="H149" s="413"/>
      <c r="I149" s="413"/>
      <c r="J149" s="413"/>
      <c r="K149" s="413"/>
      <c r="L149" s="413"/>
      <c r="M149" s="467">
        <f>M75</f>
        <v>34137</v>
      </c>
      <c r="N149" s="437"/>
      <c r="O149" s="387"/>
    </row>
    <row r="150" spans="1:16" ht="16.2" thickBot="1" x14ac:dyDescent="0.35">
      <c r="A150" s="389"/>
      <c r="B150" s="448"/>
      <c r="C150" s="448"/>
      <c r="D150" s="448"/>
      <c r="E150" s="448"/>
      <c r="F150" s="448"/>
      <c r="G150" s="448"/>
      <c r="H150" s="448"/>
      <c r="I150" s="448"/>
      <c r="J150" s="448"/>
      <c r="K150" s="448"/>
      <c r="L150" s="448"/>
      <c r="M150" s="499"/>
      <c r="N150" s="591"/>
      <c r="O150" s="387"/>
    </row>
    <row r="151" spans="1:16" x14ac:dyDescent="0.3">
      <c r="A151" s="383"/>
      <c r="B151" s="386"/>
      <c r="C151" s="386"/>
      <c r="D151" s="386"/>
      <c r="E151" s="386"/>
      <c r="F151" s="386"/>
      <c r="G151" s="386"/>
      <c r="H151" s="386"/>
      <c r="I151" s="386"/>
      <c r="J151" s="386"/>
      <c r="K151" s="386"/>
      <c r="L151" s="386"/>
      <c r="M151" s="503"/>
      <c r="N151" s="590"/>
      <c r="O151" s="387"/>
    </row>
    <row r="152" spans="1:16" x14ac:dyDescent="0.3">
      <c r="A152" s="389"/>
      <c r="B152" s="498" t="s">
        <v>81</v>
      </c>
      <c r="C152" s="509"/>
      <c r="D152" s="509"/>
      <c r="E152" s="465"/>
      <c r="F152" s="465"/>
      <c r="G152" s="465"/>
      <c r="H152" s="465"/>
      <c r="I152" s="510" t="s">
        <v>127</v>
      </c>
      <c r="J152" s="510"/>
      <c r="K152" s="510" t="s">
        <v>134</v>
      </c>
      <c r="L152" s="393"/>
      <c r="M152" s="511" t="s">
        <v>144</v>
      </c>
      <c r="N152" s="596"/>
      <c r="O152" s="387"/>
    </row>
    <row r="153" spans="1:16" x14ac:dyDescent="0.3">
      <c r="A153" s="412"/>
      <c r="B153" s="413" t="s">
        <v>82</v>
      </c>
      <c r="C153" s="413"/>
      <c r="D153" s="413"/>
      <c r="E153" s="413"/>
      <c r="F153" s="413"/>
      <c r="G153" s="413"/>
      <c r="H153" s="413"/>
      <c r="I153" s="467">
        <v>15000</v>
      </c>
      <c r="J153" s="413"/>
      <c r="K153" s="512">
        <v>5000</v>
      </c>
      <c r="L153" s="413"/>
      <c r="M153" s="467">
        <v>15000</v>
      </c>
      <c r="N153" s="417"/>
      <c r="O153" s="387"/>
    </row>
    <row r="154" spans="1:16" x14ac:dyDescent="0.3">
      <c r="A154" s="412"/>
      <c r="B154" s="413" t="s">
        <v>83</v>
      </c>
      <c r="C154" s="413"/>
      <c r="D154" s="413"/>
      <c r="E154" s="413"/>
      <c r="F154" s="413"/>
      <c r="G154" s="413"/>
      <c r="H154" s="413"/>
      <c r="I154" s="467">
        <f>+'April 18'!I156</f>
        <v>7636</v>
      </c>
      <c r="J154" s="413"/>
      <c r="K154" s="467">
        <f>+'April 18'!K156</f>
        <v>0</v>
      </c>
      <c r="L154" s="413"/>
      <c r="M154" s="467">
        <f>K154+I154</f>
        <v>7636</v>
      </c>
      <c r="N154" s="417"/>
      <c r="O154" s="387"/>
    </row>
    <row r="155" spans="1:16" x14ac:dyDescent="0.3">
      <c r="A155" s="412"/>
      <c r="B155" s="413" t="s">
        <v>84</v>
      </c>
      <c r="C155" s="413"/>
      <c r="D155" s="413"/>
      <c r="E155" s="413"/>
      <c r="F155" s="413"/>
      <c r="G155" s="413"/>
      <c r="H155" s="413"/>
      <c r="I155" s="466">
        <v>0</v>
      </c>
      <c r="J155" s="413"/>
      <c r="K155" s="413">
        <v>0</v>
      </c>
      <c r="L155" s="413"/>
      <c r="M155" s="467">
        <f>K155+I155</f>
        <v>0</v>
      </c>
      <c r="N155" s="417"/>
      <c r="O155" s="387"/>
    </row>
    <row r="156" spans="1:16" x14ac:dyDescent="0.3">
      <c r="A156" s="412"/>
      <c r="B156" s="413" t="s">
        <v>85</v>
      </c>
      <c r="C156" s="413"/>
      <c r="D156" s="413"/>
      <c r="E156" s="413"/>
      <c r="F156" s="413"/>
      <c r="G156" s="413"/>
      <c r="H156" s="413"/>
      <c r="I156" s="467">
        <f>I154+I155</f>
        <v>7636</v>
      </c>
      <c r="J156" s="413"/>
      <c r="K156" s="467">
        <f>K155+K154</f>
        <v>0</v>
      </c>
      <c r="L156" s="413"/>
      <c r="M156" s="467">
        <f>K156+I156</f>
        <v>7636</v>
      </c>
      <c r="N156" s="417"/>
      <c r="O156" s="387"/>
    </row>
    <row r="157" spans="1:16" x14ac:dyDescent="0.3">
      <c r="A157" s="412"/>
      <c r="B157" s="413" t="s">
        <v>86</v>
      </c>
      <c r="C157" s="413"/>
      <c r="D157" s="413"/>
      <c r="E157" s="413"/>
      <c r="F157" s="413"/>
      <c r="G157" s="413"/>
      <c r="H157" s="413"/>
      <c r="I157" s="467">
        <f>I153-I156-K156</f>
        <v>7364</v>
      </c>
      <c r="J157" s="413"/>
      <c r="K157" s="441">
        <v>0</v>
      </c>
      <c r="L157" s="413"/>
      <c r="M157" s="467"/>
      <c r="N157" s="417"/>
      <c r="O157" s="387"/>
    </row>
    <row r="158" spans="1:16" ht="16.2" thickBot="1" x14ac:dyDescent="0.35">
      <c r="A158" s="389"/>
      <c r="B158" s="448"/>
      <c r="C158" s="448"/>
      <c r="D158" s="448"/>
      <c r="E158" s="448"/>
      <c r="F158" s="448"/>
      <c r="G158" s="448"/>
      <c r="H158" s="448"/>
      <c r="I158" s="448"/>
      <c r="J158" s="448"/>
      <c r="K158" s="448"/>
      <c r="L158" s="448"/>
      <c r="M158" s="499"/>
      <c r="N158" s="591"/>
      <c r="O158" s="387"/>
    </row>
    <row r="159" spans="1:16" x14ac:dyDescent="0.3">
      <c r="A159" s="383"/>
      <c r="B159" s="386"/>
      <c r="C159" s="386"/>
      <c r="D159" s="386"/>
      <c r="E159" s="386"/>
      <c r="F159" s="386"/>
      <c r="G159" s="386"/>
      <c r="H159" s="386"/>
      <c r="I159" s="386"/>
      <c r="J159" s="386"/>
      <c r="K159" s="386"/>
      <c r="L159" s="386"/>
      <c r="M159" s="503"/>
      <c r="N159" s="590"/>
      <c r="O159" s="387"/>
    </row>
    <row r="160" spans="1:16" x14ac:dyDescent="0.3">
      <c r="A160" s="389"/>
      <c r="B160" s="498" t="s">
        <v>87</v>
      </c>
      <c r="C160" s="399"/>
      <c r="D160" s="399"/>
      <c r="E160" s="391"/>
      <c r="F160" s="391"/>
      <c r="G160" s="391"/>
      <c r="H160" s="391"/>
      <c r="I160" s="391"/>
      <c r="J160" s="391"/>
      <c r="K160" s="391"/>
      <c r="L160" s="391"/>
      <c r="M160" s="513"/>
      <c r="N160" s="591"/>
      <c r="O160" s="387"/>
    </row>
    <row r="161" spans="1:15" x14ac:dyDescent="0.3">
      <c r="A161" s="412"/>
      <c r="B161" s="413" t="s">
        <v>88</v>
      </c>
      <c r="C161" s="413"/>
      <c r="D161" s="413"/>
      <c r="E161" s="413"/>
      <c r="F161" s="413"/>
      <c r="G161" s="413"/>
      <c r="H161" s="413"/>
      <c r="I161" s="413"/>
      <c r="J161" s="413"/>
      <c r="K161" s="413"/>
      <c r="L161" s="413"/>
      <c r="M161" s="514">
        <f>(M87+M89+M90+M91+M92)/-M93</f>
        <v>14.117647058823529</v>
      </c>
      <c r="N161" s="437" t="s">
        <v>145</v>
      </c>
      <c r="O161" s="387"/>
    </row>
    <row r="162" spans="1:15" x14ac:dyDescent="0.3">
      <c r="A162" s="412"/>
      <c r="B162" s="413" t="s">
        <v>89</v>
      </c>
      <c r="C162" s="413"/>
      <c r="D162" s="413"/>
      <c r="E162" s="413"/>
      <c r="F162" s="413"/>
      <c r="G162" s="413"/>
      <c r="H162" s="413"/>
      <c r="I162" s="413"/>
      <c r="J162" s="413"/>
      <c r="K162" s="413"/>
      <c r="L162" s="413"/>
      <c r="M162" s="515">
        <v>3.89</v>
      </c>
      <c r="N162" s="437" t="s">
        <v>145</v>
      </c>
      <c r="O162" s="387"/>
    </row>
    <row r="163" spans="1:15" x14ac:dyDescent="0.3">
      <c r="A163" s="412"/>
      <c r="B163" s="413" t="s">
        <v>90</v>
      </c>
      <c r="C163" s="413"/>
      <c r="D163" s="413"/>
      <c r="E163" s="413"/>
      <c r="F163" s="413"/>
      <c r="G163" s="413"/>
      <c r="H163" s="413"/>
      <c r="I163" s="413"/>
      <c r="J163" s="413"/>
      <c r="K163" s="413"/>
      <c r="L163" s="413"/>
      <c r="M163" s="514">
        <f>(M87+M89+M90+M91+M92+M93)/-M94</f>
        <v>12.163636363636364</v>
      </c>
      <c r="N163" s="437" t="s">
        <v>145</v>
      </c>
      <c r="O163" s="387"/>
    </row>
    <row r="164" spans="1:15" x14ac:dyDescent="0.3">
      <c r="A164" s="412"/>
      <c r="B164" s="413" t="s">
        <v>91</v>
      </c>
      <c r="C164" s="413"/>
      <c r="D164" s="413"/>
      <c r="E164" s="413"/>
      <c r="F164" s="413"/>
      <c r="G164" s="413"/>
      <c r="H164" s="413"/>
      <c r="I164" s="413"/>
      <c r="J164" s="413"/>
      <c r="K164" s="413"/>
      <c r="L164" s="413"/>
      <c r="M164" s="516">
        <v>10.23</v>
      </c>
      <c r="N164" s="437" t="s">
        <v>145</v>
      </c>
      <c r="O164" s="387"/>
    </row>
    <row r="165" spans="1:15" x14ac:dyDescent="0.3">
      <c r="A165" s="412"/>
      <c r="B165" s="413" t="s">
        <v>181</v>
      </c>
      <c r="C165" s="413"/>
      <c r="D165" s="413"/>
      <c r="E165" s="413"/>
      <c r="F165" s="413"/>
      <c r="G165" s="413"/>
      <c r="H165" s="413"/>
      <c r="I165" s="413"/>
      <c r="J165" s="413"/>
      <c r="K165" s="413"/>
      <c r="L165" s="413"/>
      <c r="M165" s="514">
        <f>(M87+M89+M90+M91+M92+M93+M94)/-M95</f>
        <v>13.954545454545455</v>
      </c>
      <c r="N165" s="437" t="s">
        <v>145</v>
      </c>
      <c r="O165" s="387"/>
    </row>
    <row r="166" spans="1:15" x14ac:dyDescent="0.3">
      <c r="A166" s="412"/>
      <c r="B166" s="413" t="s">
        <v>182</v>
      </c>
      <c r="C166" s="413"/>
      <c r="D166" s="413"/>
      <c r="E166" s="413"/>
      <c r="F166" s="413"/>
      <c r="G166" s="413"/>
      <c r="H166" s="413"/>
      <c r="I166" s="413"/>
      <c r="J166" s="413"/>
      <c r="K166" s="413"/>
      <c r="L166" s="413"/>
      <c r="M166" s="516">
        <v>13</v>
      </c>
      <c r="N166" s="437" t="s">
        <v>145</v>
      </c>
      <c r="O166" s="387"/>
    </row>
    <row r="167" spans="1:15" x14ac:dyDescent="0.3">
      <c r="A167" s="412"/>
      <c r="B167" s="416"/>
      <c r="C167" s="416"/>
      <c r="D167" s="416"/>
      <c r="E167" s="416"/>
      <c r="F167" s="416"/>
      <c r="G167" s="416"/>
      <c r="H167" s="416"/>
      <c r="I167" s="416"/>
      <c r="J167" s="416"/>
      <c r="K167" s="416"/>
      <c r="L167" s="416"/>
      <c r="M167" s="416"/>
      <c r="N167" s="417"/>
      <c r="O167" s="387"/>
    </row>
    <row r="168" spans="1:15" x14ac:dyDescent="0.3">
      <c r="A168" s="389"/>
      <c r="B168" s="448"/>
      <c r="C168" s="448"/>
      <c r="D168" s="448"/>
      <c r="E168" s="448"/>
      <c r="F168" s="448"/>
      <c r="G168" s="448"/>
      <c r="H168" s="448"/>
      <c r="I168" s="448"/>
      <c r="J168" s="448"/>
      <c r="K168" s="448"/>
      <c r="L168" s="448"/>
      <c r="M168" s="448"/>
      <c r="N168" s="591"/>
      <c r="O168" s="387"/>
    </row>
    <row r="169" spans="1:15" x14ac:dyDescent="0.3">
      <c r="A169" s="389"/>
      <c r="B169" s="391"/>
      <c r="C169" s="391"/>
      <c r="D169" s="391"/>
      <c r="E169" s="391"/>
      <c r="F169" s="391"/>
      <c r="G169" s="391"/>
      <c r="H169" s="391"/>
      <c r="I169" s="391"/>
      <c r="J169" s="391"/>
      <c r="K169" s="391"/>
      <c r="L169" s="391"/>
      <c r="M169" s="391"/>
      <c r="N169" s="591"/>
      <c r="O169" s="387"/>
    </row>
    <row r="170" spans="1:15" ht="18.600000000000001" thickBot="1" x14ac:dyDescent="0.4">
      <c r="A170" s="453"/>
      <c r="B170" s="454" t="str">
        <f>B114</f>
        <v>PSF1 INVESTOR REPORT QUARTER ENDING JULY 2018</v>
      </c>
      <c r="C170" s="455"/>
      <c r="D170" s="455"/>
      <c r="E170" s="455"/>
      <c r="F170" s="455"/>
      <c r="G170" s="455"/>
      <c r="H170" s="455"/>
      <c r="I170" s="455"/>
      <c r="J170" s="455"/>
      <c r="K170" s="455"/>
      <c r="L170" s="455"/>
      <c r="M170" s="455"/>
      <c r="N170" s="457"/>
      <c r="O170" s="387"/>
    </row>
    <row r="171" spans="1:15" x14ac:dyDescent="0.3">
      <c r="A171" s="517"/>
      <c r="B171" s="493" t="s">
        <v>92</v>
      </c>
      <c r="C171" s="518"/>
      <c r="D171" s="518"/>
      <c r="E171" s="518"/>
      <c r="F171" s="518"/>
      <c r="G171" s="518"/>
      <c r="H171" s="519"/>
      <c r="I171" s="519"/>
      <c r="J171" s="519"/>
      <c r="K171" s="519">
        <v>43312</v>
      </c>
      <c r="L171" s="520"/>
      <c r="M171" s="520"/>
      <c r="N171" s="597"/>
      <c r="O171" s="387"/>
    </row>
    <row r="172" spans="1:15" x14ac:dyDescent="0.3">
      <c r="A172" s="521"/>
      <c r="B172" s="522"/>
      <c r="C172" s="523"/>
      <c r="D172" s="523"/>
      <c r="E172" s="523"/>
      <c r="F172" s="523"/>
      <c r="G172" s="523"/>
      <c r="H172" s="524"/>
      <c r="I172" s="524"/>
      <c r="J172" s="524"/>
      <c r="K172" s="524"/>
      <c r="L172" s="391"/>
      <c r="M172" s="391"/>
      <c r="N172" s="591"/>
      <c r="O172" s="387"/>
    </row>
    <row r="173" spans="1:15" x14ac:dyDescent="0.3">
      <c r="A173" s="525"/>
      <c r="B173" s="413" t="s">
        <v>93</v>
      </c>
      <c r="C173" s="526"/>
      <c r="D173" s="526"/>
      <c r="E173" s="526"/>
      <c r="F173" s="526"/>
      <c r="G173" s="526"/>
      <c r="H173" s="444"/>
      <c r="I173" s="444"/>
      <c r="J173" s="444"/>
      <c r="K173" s="439">
        <v>9.4600000000000004E-2</v>
      </c>
      <c r="L173" s="413"/>
      <c r="M173" s="424"/>
      <c r="N173" s="437"/>
      <c r="O173" s="387"/>
    </row>
    <row r="174" spans="1:15" x14ac:dyDescent="0.3">
      <c r="A174" s="525"/>
      <c r="B174" s="413" t="s">
        <v>94</v>
      </c>
      <c r="C174" s="526"/>
      <c r="D174" s="526"/>
      <c r="E174" s="526"/>
      <c r="F174" s="526"/>
      <c r="G174" s="526"/>
      <c r="H174" s="444"/>
      <c r="I174" s="444"/>
      <c r="J174" s="444"/>
      <c r="K174" s="439">
        <v>5.2327499999999992E-2</v>
      </c>
      <c r="L174" s="413"/>
      <c r="M174" s="424"/>
      <c r="N174" s="437"/>
      <c r="O174" s="387"/>
    </row>
    <row r="175" spans="1:15" x14ac:dyDescent="0.3">
      <c r="A175" s="525"/>
      <c r="B175" s="413" t="s">
        <v>95</v>
      </c>
      <c r="C175" s="526"/>
      <c r="D175" s="526"/>
      <c r="E175" s="526"/>
      <c r="F175" s="526"/>
      <c r="G175" s="526"/>
      <c r="H175" s="444"/>
      <c r="I175" s="444"/>
      <c r="J175" s="444"/>
      <c r="K175" s="439">
        <f>K173-K174</f>
        <v>4.2272500000000011E-2</v>
      </c>
      <c r="L175" s="413"/>
      <c r="M175" s="424"/>
      <c r="N175" s="437"/>
      <c r="O175" s="387"/>
    </row>
    <row r="176" spans="1:15" x14ac:dyDescent="0.3">
      <c r="A176" s="525"/>
      <c r="B176" s="413" t="s">
        <v>96</v>
      </c>
      <c r="C176" s="526"/>
      <c r="D176" s="526"/>
      <c r="E176" s="526"/>
      <c r="F176" s="526"/>
      <c r="G176" s="526"/>
      <c r="H176" s="444"/>
      <c r="I176" s="444"/>
      <c r="J176" s="444"/>
      <c r="K176" s="439">
        <v>9.4200000000000006E-2</v>
      </c>
      <c r="L176" s="413"/>
      <c r="M176" s="424"/>
      <c r="N176" s="437"/>
      <c r="O176" s="387"/>
    </row>
    <row r="177" spans="1:15" x14ac:dyDescent="0.3">
      <c r="A177" s="525"/>
      <c r="B177" s="413" t="s">
        <v>97</v>
      </c>
      <c r="C177" s="526"/>
      <c r="D177" s="526"/>
      <c r="E177" s="526"/>
      <c r="F177" s="526"/>
      <c r="G177" s="526"/>
      <c r="H177" s="444"/>
      <c r="I177" s="444"/>
      <c r="J177" s="444"/>
      <c r="K177" s="439">
        <f>M36</f>
        <v>1.637598075667266E-2</v>
      </c>
      <c r="L177" s="413"/>
      <c r="M177" s="424"/>
      <c r="N177" s="437"/>
      <c r="O177" s="387"/>
    </row>
    <row r="178" spans="1:15" x14ac:dyDescent="0.3">
      <c r="A178" s="525"/>
      <c r="B178" s="413" t="s">
        <v>98</v>
      </c>
      <c r="C178" s="526"/>
      <c r="D178" s="526"/>
      <c r="E178" s="526"/>
      <c r="F178" s="526"/>
      <c r="G178" s="526"/>
      <c r="H178" s="444"/>
      <c r="I178" s="444"/>
      <c r="J178" s="444"/>
      <c r="K178" s="439">
        <f>K176-K177</f>
        <v>7.7824019243327353E-2</v>
      </c>
      <c r="L178" s="413"/>
      <c r="M178" s="424"/>
      <c r="N178" s="437"/>
      <c r="O178" s="387"/>
    </row>
    <row r="179" spans="1:15" x14ac:dyDescent="0.3">
      <c r="A179" s="525"/>
      <c r="B179" s="413" t="s">
        <v>211</v>
      </c>
      <c r="C179" s="526"/>
      <c r="D179" s="526"/>
      <c r="E179" s="526"/>
      <c r="F179" s="526"/>
      <c r="G179" s="526"/>
      <c r="H179" s="444"/>
      <c r="I179" s="444"/>
      <c r="J179" s="444"/>
      <c r="K179" s="439">
        <f>(+M87+M89)/E58</f>
        <v>2.0530603258476443E-2</v>
      </c>
      <c r="L179" s="413"/>
      <c r="M179" s="424"/>
      <c r="N179" s="437"/>
      <c r="O179" s="387"/>
    </row>
    <row r="180" spans="1:15" x14ac:dyDescent="0.3">
      <c r="A180" s="525"/>
      <c r="B180" s="413" t="s">
        <v>99</v>
      </c>
      <c r="C180" s="526"/>
      <c r="D180" s="526"/>
      <c r="E180" s="526"/>
      <c r="F180" s="526"/>
      <c r="G180" s="526"/>
      <c r="H180" s="444"/>
      <c r="I180" s="444"/>
      <c r="J180" s="444"/>
      <c r="K180" s="527">
        <v>49628</v>
      </c>
      <c r="L180" s="413"/>
      <c r="M180" s="424"/>
      <c r="N180" s="437"/>
      <c r="O180" s="387"/>
    </row>
    <row r="181" spans="1:15" x14ac:dyDescent="0.3">
      <c r="A181" s="525"/>
      <c r="B181" s="413" t="s">
        <v>100</v>
      </c>
      <c r="C181" s="526"/>
      <c r="D181" s="526"/>
      <c r="E181" s="526"/>
      <c r="F181" s="526"/>
      <c r="G181" s="526"/>
      <c r="H181" s="444"/>
      <c r="I181" s="444"/>
      <c r="J181" s="444"/>
      <c r="K181" s="527">
        <v>49628</v>
      </c>
      <c r="L181" s="413"/>
      <c r="M181" s="424"/>
      <c r="N181" s="437"/>
      <c r="O181" s="387"/>
    </row>
    <row r="182" spans="1:15" x14ac:dyDescent="0.3">
      <c r="A182" s="525"/>
      <c r="B182" s="413" t="s">
        <v>165</v>
      </c>
      <c r="C182" s="526"/>
      <c r="D182" s="526"/>
      <c r="E182" s="526"/>
      <c r="F182" s="526"/>
      <c r="G182" s="526"/>
      <c r="H182" s="444"/>
      <c r="I182" s="444"/>
      <c r="J182" s="444"/>
      <c r="K182" s="527">
        <v>49628</v>
      </c>
      <c r="L182" s="413"/>
      <c r="M182" s="424"/>
      <c r="N182" s="437"/>
      <c r="O182" s="387"/>
    </row>
    <row r="183" spans="1:15" x14ac:dyDescent="0.3">
      <c r="A183" s="525"/>
      <c r="B183" s="413" t="s">
        <v>101</v>
      </c>
      <c r="C183" s="526"/>
      <c r="D183" s="526"/>
      <c r="E183" s="526"/>
      <c r="F183" s="526"/>
      <c r="G183" s="526"/>
      <c r="H183" s="444"/>
      <c r="I183" s="444"/>
      <c r="J183" s="444"/>
      <c r="K183" s="443">
        <v>15.78</v>
      </c>
      <c r="L183" s="413" t="s">
        <v>139</v>
      </c>
      <c r="M183" s="424"/>
      <c r="N183" s="437"/>
      <c r="O183" s="387"/>
    </row>
    <row r="184" spans="1:15" x14ac:dyDescent="0.3">
      <c r="A184" s="525"/>
      <c r="B184" s="413" t="s">
        <v>102</v>
      </c>
      <c r="C184" s="526"/>
      <c r="D184" s="526"/>
      <c r="E184" s="526"/>
      <c r="F184" s="526"/>
      <c r="G184" s="526"/>
      <c r="H184" s="444"/>
      <c r="I184" s="444"/>
      <c r="J184" s="444"/>
      <c r="K184" s="443">
        <v>9.74</v>
      </c>
      <c r="L184" s="413" t="s">
        <v>139</v>
      </c>
      <c r="M184" s="424"/>
      <c r="N184" s="437"/>
      <c r="O184" s="387"/>
    </row>
    <row r="185" spans="1:15" x14ac:dyDescent="0.3">
      <c r="A185" s="525"/>
      <c r="B185" s="413" t="s">
        <v>103</v>
      </c>
      <c r="C185" s="526"/>
      <c r="D185" s="526"/>
      <c r="E185" s="526"/>
      <c r="F185" s="526"/>
      <c r="G185" s="526"/>
      <c r="H185" s="444"/>
      <c r="I185" s="444"/>
      <c r="J185" s="444"/>
      <c r="K185" s="439">
        <f>K80/E58</f>
        <v>6.5637384412153235E-2</v>
      </c>
      <c r="L185" s="413"/>
      <c r="M185" s="424"/>
      <c r="N185" s="437"/>
      <c r="O185" s="387"/>
    </row>
    <row r="186" spans="1:15" x14ac:dyDescent="0.3">
      <c r="A186" s="525"/>
      <c r="B186" s="413" t="s">
        <v>104</v>
      </c>
      <c r="C186" s="526"/>
      <c r="D186" s="526"/>
      <c r="E186" s="526"/>
      <c r="F186" s="526"/>
      <c r="G186" s="526"/>
      <c r="H186" s="444"/>
      <c r="I186" s="444"/>
      <c r="J186" s="444"/>
      <c r="K186" s="439">
        <v>0.22370000000000001</v>
      </c>
      <c r="L186" s="413"/>
      <c r="M186" s="424"/>
      <c r="N186" s="437"/>
      <c r="O186" s="387"/>
    </row>
    <row r="187" spans="1:15" x14ac:dyDescent="0.3">
      <c r="A187" s="521"/>
      <c r="B187" s="475"/>
      <c r="C187" s="475"/>
      <c r="D187" s="475"/>
      <c r="E187" s="475"/>
      <c r="F187" s="475"/>
      <c r="G187" s="475"/>
      <c r="H187" s="475"/>
      <c r="I187" s="475"/>
      <c r="J187" s="475"/>
      <c r="K187" s="528"/>
      <c r="L187" s="475"/>
      <c r="M187" s="529"/>
      <c r="N187" s="594"/>
      <c r="O187" s="387"/>
    </row>
    <row r="188" spans="1:15" x14ac:dyDescent="0.3">
      <c r="A188" s="530"/>
      <c r="B188" s="583" t="s">
        <v>105</v>
      </c>
      <c r="C188" s="584"/>
      <c r="D188" s="584"/>
      <c r="E188" s="585"/>
      <c r="F188" s="584"/>
      <c r="G188" s="585"/>
      <c r="H188" s="584"/>
      <c r="I188" s="585"/>
      <c r="J188" s="584" t="s">
        <v>128</v>
      </c>
      <c r="K188" s="585" t="s">
        <v>135</v>
      </c>
      <c r="L188" s="576"/>
      <c r="M188" s="576"/>
      <c r="N188" s="579"/>
      <c r="O188" s="387"/>
    </row>
    <row r="189" spans="1:15" x14ac:dyDescent="0.3">
      <c r="A189" s="548"/>
      <c r="B189" s="473" t="s">
        <v>106</v>
      </c>
      <c r="C189" s="474"/>
      <c r="D189" s="474"/>
      <c r="E189" s="474"/>
      <c r="F189" s="474"/>
      <c r="G189" s="473"/>
      <c r="H189" s="473"/>
      <c r="I189" s="473"/>
      <c r="J189" s="580">
        <v>226</v>
      </c>
      <c r="K189" s="581">
        <v>4476</v>
      </c>
      <c r="L189" s="475"/>
      <c r="M189" s="582"/>
      <c r="N189" s="598"/>
      <c r="O189" s="387"/>
    </row>
    <row r="190" spans="1:15" x14ac:dyDescent="0.3">
      <c r="A190" s="531"/>
      <c r="B190" s="413" t="s">
        <v>196</v>
      </c>
      <c r="C190" s="466"/>
      <c r="D190" s="466"/>
      <c r="E190" s="466"/>
      <c r="F190" s="466"/>
      <c r="G190" s="413"/>
      <c r="H190" s="413"/>
      <c r="I190" s="413"/>
      <c r="J190" s="423">
        <v>0</v>
      </c>
      <c r="K190" s="603">
        <v>0</v>
      </c>
      <c r="L190" s="424"/>
      <c r="M190" s="533"/>
      <c r="N190" s="534"/>
      <c r="O190" s="387"/>
    </row>
    <row r="191" spans="1:15" x14ac:dyDescent="0.3">
      <c r="A191" s="531"/>
      <c r="B191" s="431" t="s">
        <v>107</v>
      </c>
      <c r="C191" s="535"/>
      <c r="D191" s="535"/>
      <c r="E191" s="535"/>
      <c r="F191" s="535"/>
      <c r="G191" s="416"/>
      <c r="H191" s="416"/>
      <c r="I191" s="416"/>
      <c r="J191" s="416"/>
      <c r="K191" s="532">
        <v>0</v>
      </c>
      <c r="L191" s="416"/>
      <c r="M191" s="536"/>
      <c r="N191" s="537"/>
      <c r="O191" s="387"/>
    </row>
    <row r="192" spans="1:15" x14ac:dyDescent="0.3">
      <c r="A192" s="531"/>
      <c r="B192" s="431" t="s">
        <v>240</v>
      </c>
      <c r="C192" s="535"/>
      <c r="D192" s="535"/>
      <c r="E192" s="535"/>
      <c r="F192" s="535"/>
      <c r="G192" s="416"/>
      <c r="H192" s="416"/>
      <c r="I192" s="416"/>
      <c r="J192" s="416"/>
      <c r="K192" s="532">
        <f>+I58</f>
        <v>0</v>
      </c>
      <c r="L192" s="416"/>
      <c r="M192" s="536"/>
      <c r="N192" s="537"/>
      <c r="O192" s="387"/>
    </row>
    <row r="193" spans="1:15" x14ac:dyDescent="0.3">
      <c r="A193" s="538"/>
      <c r="B193" s="431" t="s">
        <v>109</v>
      </c>
      <c r="C193" s="535"/>
      <c r="D193" s="535"/>
      <c r="E193" s="539"/>
      <c r="F193" s="539"/>
      <c r="G193" s="539"/>
      <c r="H193" s="416"/>
      <c r="I193" s="416"/>
      <c r="J193" s="416"/>
      <c r="K193" s="540"/>
      <c r="L193" s="416"/>
      <c r="M193" s="536"/>
      <c r="N193" s="541"/>
      <c r="O193" s="387"/>
    </row>
    <row r="194" spans="1:15" x14ac:dyDescent="0.3">
      <c r="A194" s="538"/>
      <c r="B194" s="413" t="s">
        <v>110</v>
      </c>
      <c r="C194" s="466"/>
      <c r="D194" s="466"/>
      <c r="E194" s="413"/>
      <c r="F194" s="413"/>
      <c r="G194" s="413"/>
      <c r="H194" s="413"/>
      <c r="I194" s="413"/>
      <c r="J194" s="413"/>
      <c r="K194" s="532">
        <f>+M141</f>
        <v>-186</v>
      </c>
      <c r="L194" s="424"/>
      <c r="M194" s="536"/>
      <c r="N194" s="541"/>
      <c r="O194" s="387"/>
    </row>
    <row r="195" spans="1:15" x14ac:dyDescent="0.3">
      <c r="A195" s="531"/>
      <c r="B195" s="413" t="s">
        <v>111</v>
      </c>
      <c r="C195" s="466"/>
      <c r="D195" s="466"/>
      <c r="E195" s="466"/>
      <c r="F195" s="466"/>
      <c r="G195" s="466"/>
      <c r="H195" s="413"/>
      <c r="I195" s="413"/>
      <c r="J195" s="413"/>
      <c r="K195" s="532">
        <f>'April 18'!K195+'July 18'!K194</f>
        <v>36353</v>
      </c>
      <c r="L195" s="424"/>
      <c r="M195" s="536"/>
      <c r="N195" s="541"/>
      <c r="O195" s="387"/>
    </row>
    <row r="196" spans="1:15" x14ac:dyDescent="0.3">
      <c r="A196" s="531"/>
      <c r="B196" s="413" t="s">
        <v>112</v>
      </c>
      <c r="C196" s="466"/>
      <c r="D196" s="466"/>
      <c r="E196" s="466"/>
      <c r="F196" s="466"/>
      <c r="G196" s="466"/>
      <c r="H196" s="413"/>
      <c r="I196" s="413"/>
      <c r="J196" s="413"/>
      <c r="K196" s="532">
        <f>'April 18'!K196+288</f>
        <v>19361</v>
      </c>
      <c r="L196" s="424"/>
      <c r="M196" s="536"/>
      <c r="N196" s="541"/>
      <c r="O196" s="387"/>
    </row>
    <row r="197" spans="1:15" x14ac:dyDescent="0.3">
      <c r="A197" s="538"/>
      <c r="B197" s="431" t="s">
        <v>241</v>
      </c>
      <c r="C197" s="535"/>
      <c r="D197" s="535"/>
      <c r="E197" s="539"/>
      <c r="F197" s="539"/>
      <c r="G197" s="539"/>
      <c r="H197" s="416"/>
      <c r="I197" s="416"/>
      <c r="J197" s="416"/>
      <c r="K197" s="540"/>
      <c r="L197" s="416"/>
      <c r="M197" s="536"/>
      <c r="N197" s="541"/>
      <c r="O197" s="387"/>
    </row>
    <row r="198" spans="1:15" x14ac:dyDescent="0.3">
      <c r="A198" s="538"/>
      <c r="B198" s="413" t="s">
        <v>236</v>
      </c>
      <c r="C198" s="466"/>
      <c r="D198" s="466"/>
      <c r="E198" s="413"/>
      <c r="F198" s="413"/>
      <c r="G198" s="413"/>
      <c r="H198" s="413"/>
      <c r="I198" s="413"/>
      <c r="J198" s="413"/>
      <c r="K198" s="603">
        <v>0</v>
      </c>
      <c r="L198" s="424"/>
      <c r="M198" s="533"/>
      <c r="N198" s="541"/>
      <c r="O198" s="387"/>
    </row>
    <row r="199" spans="1:15" x14ac:dyDescent="0.3">
      <c r="A199" s="531"/>
      <c r="B199" s="413" t="s">
        <v>113</v>
      </c>
      <c r="C199" s="466"/>
      <c r="D199" s="466"/>
      <c r="E199" s="441"/>
      <c r="F199" s="441"/>
      <c r="G199" s="542"/>
      <c r="H199" s="413"/>
      <c r="I199" s="413"/>
      <c r="J199" s="413"/>
      <c r="K199" s="604">
        <v>0</v>
      </c>
      <c r="L199" s="424"/>
      <c r="M199" s="533"/>
      <c r="N199" s="541"/>
      <c r="O199" s="387"/>
    </row>
    <row r="200" spans="1:15" x14ac:dyDescent="0.3">
      <c r="A200" s="531"/>
      <c r="B200" s="413" t="s">
        <v>114</v>
      </c>
      <c r="C200" s="466"/>
      <c r="D200" s="466"/>
      <c r="E200" s="441"/>
      <c r="F200" s="441"/>
      <c r="G200" s="542"/>
      <c r="H200" s="413"/>
      <c r="I200" s="413"/>
      <c r="J200" s="413"/>
      <c r="K200" s="604">
        <v>0</v>
      </c>
      <c r="L200" s="424"/>
      <c r="M200" s="533"/>
      <c r="N200" s="541"/>
      <c r="O200" s="387"/>
    </row>
    <row r="201" spans="1:15" x14ac:dyDescent="0.3">
      <c r="A201" s="531"/>
      <c r="B201" s="539"/>
      <c r="C201" s="535"/>
      <c r="D201" s="535"/>
      <c r="E201" s="543"/>
      <c r="F201" s="544"/>
      <c r="G201" s="545"/>
      <c r="H201" s="416"/>
      <c r="I201" s="416"/>
      <c r="J201" s="416"/>
      <c r="K201" s="546"/>
      <c r="L201" s="416"/>
      <c r="M201" s="536"/>
      <c r="N201" s="541"/>
      <c r="O201" s="387"/>
    </row>
    <row r="202" spans="1:15" ht="18" x14ac:dyDescent="0.35">
      <c r="A202" s="531"/>
      <c r="B202" s="547" t="s">
        <v>200</v>
      </c>
      <c r="C202" s="535"/>
      <c r="D202" s="535"/>
      <c r="E202" s="543"/>
      <c r="F202" s="544"/>
      <c r="G202" s="545"/>
      <c r="H202" s="416"/>
      <c r="I202" s="416"/>
      <c r="J202" s="416"/>
      <c r="K202" s="569" t="s">
        <v>286</v>
      </c>
      <c r="L202" s="416"/>
      <c r="M202" s="536"/>
      <c r="N202" s="541"/>
      <c r="O202" s="387"/>
    </row>
    <row r="203" spans="1:15" x14ac:dyDescent="0.3">
      <c r="A203" s="548"/>
      <c r="B203" s="549"/>
      <c r="C203" s="469"/>
      <c r="D203" s="469"/>
      <c r="E203" s="550"/>
      <c r="F203" s="551"/>
      <c r="G203" s="552"/>
      <c r="H203" s="448"/>
      <c r="I203" s="448"/>
      <c r="J203" s="448"/>
      <c r="K203" s="553"/>
      <c r="L203" s="448"/>
      <c r="M203" s="554"/>
      <c r="N203" s="599"/>
      <c r="O203" s="387"/>
    </row>
    <row r="204" spans="1:15" x14ac:dyDescent="0.3">
      <c r="A204" s="410"/>
      <c r="B204" s="583" t="s">
        <v>115</v>
      </c>
      <c r="C204" s="584"/>
      <c r="D204" s="584"/>
      <c r="E204" s="585"/>
      <c r="F204" s="584"/>
      <c r="G204" s="585"/>
      <c r="H204" s="584"/>
      <c r="I204" s="585" t="s">
        <v>128</v>
      </c>
      <c r="J204" s="584" t="s">
        <v>129</v>
      </c>
      <c r="K204" s="585" t="s">
        <v>137</v>
      </c>
      <c r="L204" s="584" t="s">
        <v>129</v>
      </c>
      <c r="M204" s="576"/>
      <c r="N204" s="589"/>
      <c r="O204" s="387"/>
    </row>
    <row r="205" spans="1:15" x14ac:dyDescent="0.3">
      <c r="A205" s="561"/>
      <c r="B205" s="474" t="s">
        <v>116</v>
      </c>
      <c r="C205" s="586"/>
      <c r="D205" s="586"/>
      <c r="E205" s="474"/>
      <c r="F205" s="586"/>
      <c r="G205" s="473"/>
      <c r="H205" s="586"/>
      <c r="I205" s="474">
        <v>1633</v>
      </c>
      <c r="J205" s="587">
        <f>I205/I213</f>
        <v>0.87842926304464763</v>
      </c>
      <c r="K205" s="563">
        <v>29661</v>
      </c>
      <c r="L205" s="587">
        <f>K205/K213</f>
        <v>0.8688812725195536</v>
      </c>
      <c r="M205" s="588"/>
      <c r="N205" s="600"/>
      <c r="O205" s="387"/>
    </row>
    <row r="206" spans="1:15" x14ac:dyDescent="0.3">
      <c r="A206" s="555"/>
      <c r="B206" s="466" t="s">
        <v>117</v>
      </c>
      <c r="C206" s="556"/>
      <c r="D206" s="556"/>
      <c r="E206" s="466"/>
      <c r="F206" s="556"/>
      <c r="G206" s="413"/>
      <c r="H206" s="557"/>
      <c r="I206" s="466">
        <v>46</v>
      </c>
      <c r="J206" s="557">
        <f>I206/I213</f>
        <v>2.4744486282947821E-2</v>
      </c>
      <c r="K206" s="467">
        <v>843</v>
      </c>
      <c r="L206" s="557">
        <f>K206/K213</f>
        <v>2.4694612883381668E-2</v>
      </c>
      <c r="M206" s="558"/>
      <c r="N206" s="534"/>
      <c r="O206" s="387"/>
    </row>
    <row r="207" spans="1:15" x14ac:dyDescent="0.3">
      <c r="A207" s="555"/>
      <c r="B207" s="466" t="s">
        <v>118</v>
      </c>
      <c r="C207" s="556"/>
      <c r="D207" s="556"/>
      <c r="E207" s="466"/>
      <c r="F207" s="556"/>
      <c r="G207" s="466"/>
      <c r="H207" s="557"/>
      <c r="I207" s="466">
        <v>27</v>
      </c>
      <c r="J207" s="557">
        <f>I207/I213</f>
        <v>1.4523937600860678E-2</v>
      </c>
      <c r="K207" s="467">
        <v>405</v>
      </c>
      <c r="L207" s="557">
        <f>K207/K213</f>
        <v>1.1863959926179805E-2</v>
      </c>
      <c r="M207" s="559"/>
      <c r="N207" s="534"/>
      <c r="O207" s="387"/>
    </row>
    <row r="208" spans="1:15" x14ac:dyDescent="0.3">
      <c r="A208" s="555"/>
      <c r="B208" s="466" t="s">
        <v>167</v>
      </c>
      <c r="C208" s="556"/>
      <c r="D208" s="556"/>
      <c r="E208" s="466"/>
      <c r="F208" s="556"/>
      <c r="G208" s="466"/>
      <c r="H208" s="557"/>
      <c r="I208" s="466">
        <v>23</v>
      </c>
      <c r="J208" s="557">
        <f>I208/I213</f>
        <v>1.237224314147391E-2</v>
      </c>
      <c r="K208" s="467">
        <v>466</v>
      </c>
      <c r="L208" s="557">
        <f>K208/K213</f>
        <v>1.3650877347159973E-2</v>
      </c>
      <c r="M208" s="559"/>
      <c r="N208" s="534"/>
      <c r="O208" s="387"/>
    </row>
    <row r="209" spans="1:15" x14ac:dyDescent="0.3">
      <c r="A209" s="555"/>
      <c r="B209" s="466" t="s">
        <v>168</v>
      </c>
      <c r="C209" s="556"/>
      <c r="D209" s="556"/>
      <c r="E209" s="466"/>
      <c r="F209" s="556"/>
      <c r="G209" s="413"/>
      <c r="H209" s="557"/>
      <c r="I209" s="466">
        <v>21</v>
      </c>
      <c r="J209" s="557">
        <f>I209/I213</f>
        <v>1.1296395911780527E-2</v>
      </c>
      <c r="K209" s="467">
        <v>503</v>
      </c>
      <c r="L209" s="557">
        <f>K209/K213</f>
        <v>1.4734745291033189E-2</v>
      </c>
      <c r="M209" s="559"/>
      <c r="N209" s="534"/>
      <c r="O209" s="387"/>
    </row>
    <row r="210" spans="1:15" x14ac:dyDescent="0.3">
      <c r="A210" s="555"/>
      <c r="B210" s="466" t="s">
        <v>169</v>
      </c>
      <c r="C210" s="556"/>
      <c r="D210" s="556"/>
      <c r="E210" s="466"/>
      <c r="F210" s="556"/>
      <c r="G210" s="413"/>
      <c r="H210" s="557"/>
      <c r="I210" s="466">
        <v>16</v>
      </c>
      <c r="J210" s="557">
        <f>I210/I213</f>
        <v>8.6067778375470676E-3</v>
      </c>
      <c r="K210" s="467">
        <v>284</v>
      </c>
      <c r="L210" s="557">
        <f>K210/K213</f>
        <v>8.3194188124322589E-3</v>
      </c>
      <c r="M210" s="559"/>
      <c r="N210" s="560"/>
      <c r="O210" s="387"/>
    </row>
    <row r="211" spans="1:15" x14ac:dyDescent="0.3">
      <c r="A211" s="555"/>
      <c r="B211" s="466" t="s">
        <v>176</v>
      </c>
      <c r="C211" s="556"/>
      <c r="D211" s="556"/>
      <c r="E211" s="466"/>
      <c r="F211" s="556"/>
      <c r="G211" s="413"/>
      <c r="H211" s="557"/>
      <c r="I211" s="466">
        <v>53</v>
      </c>
      <c r="J211" s="557">
        <f>I211/I213</f>
        <v>2.8509951586874662E-2</v>
      </c>
      <c r="K211" s="467">
        <v>1037</v>
      </c>
      <c r="L211" s="557">
        <f>K211/K213</f>
        <v>3.037759615666286E-2</v>
      </c>
      <c r="M211" s="558"/>
      <c r="N211" s="534"/>
      <c r="O211" s="387"/>
    </row>
    <row r="212" spans="1:15" x14ac:dyDescent="0.3">
      <c r="A212" s="555"/>
      <c r="B212" s="466" t="s">
        <v>202</v>
      </c>
      <c r="C212" s="556"/>
      <c r="D212" s="556"/>
      <c r="E212" s="466"/>
      <c r="F212" s="556"/>
      <c r="G212" s="413"/>
      <c r="H212" s="557"/>
      <c r="I212" s="466">
        <v>40</v>
      </c>
      <c r="J212" s="557">
        <f>+I212/I213</f>
        <v>2.151694459386767E-2</v>
      </c>
      <c r="K212" s="467">
        <v>938</v>
      </c>
      <c r="L212" s="557">
        <f>+K212/K213</f>
        <v>2.7477517063596683E-2</v>
      </c>
      <c r="M212" s="558"/>
      <c r="N212" s="534"/>
      <c r="O212" s="387"/>
    </row>
    <row r="213" spans="1:15" x14ac:dyDescent="0.3">
      <c r="A213" s="555"/>
      <c r="B213" s="413" t="s">
        <v>189</v>
      </c>
      <c r="C213" s="413"/>
      <c r="D213" s="413"/>
      <c r="E213" s="413"/>
      <c r="F213" s="413"/>
      <c r="G213" s="466"/>
      <c r="H213" s="413"/>
      <c r="I213" s="466">
        <f>SUM(I205:I212)</f>
        <v>1859</v>
      </c>
      <c r="J213" s="557">
        <f>SUM(J205:J212)</f>
        <v>0.99999999999999989</v>
      </c>
      <c r="K213" s="467">
        <f>SUM(K205:K212)</f>
        <v>34137</v>
      </c>
      <c r="L213" s="557">
        <f>SUM(L205:L212)</f>
        <v>1</v>
      </c>
      <c r="M213" s="413"/>
      <c r="N213" s="437"/>
      <c r="O213" s="387"/>
    </row>
    <row r="214" spans="1:15" x14ac:dyDescent="0.3">
      <c r="A214" s="555"/>
      <c r="B214" s="466" t="s">
        <v>170</v>
      </c>
      <c r="C214" s="556"/>
      <c r="D214" s="556"/>
      <c r="E214" s="466"/>
      <c r="F214" s="556"/>
      <c r="G214" s="466"/>
      <c r="H214" s="557"/>
      <c r="I214" s="466">
        <v>251</v>
      </c>
      <c r="J214" s="557"/>
      <c r="K214" s="467">
        <v>6531</v>
      </c>
      <c r="L214" s="557"/>
      <c r="M214" s="413"/>
      <c r="N214" s="437"/>
      <c r="O214" s="387"/>
    </row>
    <row r="215" spans="1:15" x14ac:dyDescent="0.3">
      <c r="A215" s="555"/>
      <c r="B215" s="413"/>
      <c r="C215" s="413"/>
      <c r="D215" s="413"/>
      <c r="E215" s="413"/>
      <c r="F215" s="413"/>
      <c r="G215" s="413"/>
      <c r="H215" s="466"/>
      <c r="I215" s="466"/>
      <c r="J215" s="557"/>
      <c r="K215" s="467"/>
      <c r="L215" s="557"/>
      <c r="M215" s="413"/>
      <c r="N215" s="437"/>
      <c r="O215" s="387"/>
    </row>
    <row r="216" spans="1:15" x14ac:dyDescent="0.3">
      <c r="A216" s="555"/>
      <c r="B216" s="413" t="s">
        <v>232</v>
      </c>
      <c r="C216" s="413"/>
      <c r="D216" s="413"/>
      <c r="E216" s="413"/>
      <c r="F216" s="413"/>
      <c r="G216" s="413"/>
      <c r="H216" s="413"/>
      <c r="I216" s="466"/>
      <c r="J216" s="602">
        <v>1.1468</v>
      </c>
      <c r="K216" s="467"/>
      <c r="L216" s="557"/>
      <c r="M216" s="413"/>
      <c r="N216" s="437"/>
      <c r="O216" s="387"/>
    </row>
    <row r="217" spans="1:15" x14ac:dyDescent="0.3">
      <c r="A217" s="561"/>
      <c r="B217" s="473"/>
      <c r="C217" s="473"/>
      <c r="D217" s="473"/>
      <c r="E217" s="473"/>
      <c r="F217" s="473"/>
      <c r="G217" s="473"/>
      <c r="H217" s="473"/>
      <c r="I217" s="474"/>
      <c r="J217" s="562"/>
      <c r="K217" s="563"/>
      <c r="L217" s="562"/>
      <c r="M217" s="473"/>
      <c r="N217" s="594"/>
      <c r="O217" s="387"/>
    </row>
    <row r="218" spans="1:15" x14ac:dyDescent="0.3">
      <c r="A218" s="561"/>
      <c r="B218" s="400" t="s">
        <v>215</v>
      </c>
      <c r="C218" s="401"/>
      <c r="D218" s="401"/>
      <c r="E218" s="401"/>
      <c r="F218" s="404" t="s">
        <v>216</v>
      </c>
      <c r="G218" s="401"/>
      <c r="H218" s="400" t="s">
        <v>217</v>
      </c>
      <c r="I218" s="564"/>
      <c r="J218" s="401"/>
      <c r="K218" s="564"/>
      <c r="L218" s="401"/>
      <c r="M218" s="401"/>
      <c r="N218" s="594"/>
      <c r="O218" s="387"/>
    </row>
    <row r="219" spans="1:15" x14ac:dyDescent="0.3">
      <c r="A219" s="561"/>
      <c r="B219" s="401"/>
      <c r="C219" s="401"/>
      <c r="D219" s="401"/>
      <c r="E219" s="401"/>
      <c r="F219" s="401"/>
      <c r="G219" s="401"/>
      <c r="H219" s="401"/>
      <c r="I219" s="401"/>
      <c r="J219" s="401"/>
      <c r="K219" s="401"/>
      <c r="L219" s="401"/>
      <c r="M219" s="401"/>
      <c r="N219" s="594"/>
      <c r="O219" s="387"/>
    </row>
    <row r="220" spans="1:15" x14ac:dyDescent="0.3">
      <c r="A220" s="561"/>
      <c r="B220" s="400" t="s">
        <v>262</v>
      </c>
      <c r="C220" s="400"/>
      <c r="D220" s="400"/>
      <c r="E220" s="400"/>
      <c r="F220" s="565" t="s">
        <v>222</v>
      </c>
      <c r="G220" s="400"/>
      <c r="H220" s="566" t="s">
        <v>287</v>
      </c>
      <c r="I220" s="401"/>
      <c r="J220" s="401"/>
      <c r="K220" s="401"/>
      <c r="L220" s="401"/>
      <c r="M220" s="401"/>
      <c r="N220" s="594"/>
      <c r="O220" s="387"/>
    </row>
    <row r="221" spans="1:15" x14ac:dyDescent="0.3">
      <c r="A221" s="561"/>
      <c r="B221" s="400" t="s">
        <v>263</v>
      </c>
      <c r="C221" s="400"/>
      <c r="D221" s="400"/>
      <c r="E221" s="400"/>
      <c r="F221" s="565" t="s">
        <v>225</v>
      </c>
      <c r="G221" s="400"/>
      <c r="H221" s="566" t="s">
        <v>288</v>
      </c>
      <c r="I221" s="401"/>
      <c r="J221" s="401"/>
      <c r="K221" s="401"/>
      <c r="L221" s="401"/>
      <c r="M221" s="401"/>
      <c r="N221" s="594"/>
      <c r="O221" s="387"/>
    </row>
    <row r="222" spans="1:15" x14ac:dyDescent="0.3">
      <c r="A222" s="561"/>
      <c r="B222" s="400"/>
      <c r="C222" s="400"/>
      <c r="D222" s="400"/>
      <c r="E222" s="404"/>
      <c r="F222" s="400"/>
      <c r="G222" s="400"/>
      <c r="H222" s="400"/>
      <c r="I222" s="400"/>
      <c r="J222" s="401"/>
      <c r="K222" s="401"/>
      <c r="L222" s="401"/>
      <c r="M222" s="401"/>
      <c r="N222" s="594"/>
      <c r="O222" s="387"/>
    </row>
    <row r="223" spans="1:15" ht="18.600000000000001" thickBot="1" x14ac:dyDescent="0.4">
      <c r="A223" s="561"/>
      <c r="B223" s="567" t="str">
        <f>B170</f>
        <v>PSF1 INVESTOR REPORT QUARTER ENDING JULY 2018</v>
      </c>
      <c r="C223" s="400"/>
      <c r="D223" s="400"/>
      <c r="E223" s="404"/>
      <c r="F223" s="400"/>
      <c r="G223" s="400"/>
      <c r="H223" s="400"/>
      <c r="I223" s="400"/>
      <c r="J223" s="401"/>
      <c r="K223" s="401"/>
      <c r="L223" s="401"/>
      <c r="M223" s="401"/>
      <c r="N223" s="601"/>
      <c r="O223" s="387"/>
    </row>
    <row r="224" spans="1:15" x14ac:dyDescent="0.3">
      <c r="A224" s="568"/>
      <c r="B224" s="568"/>
      <c r="C224" s="568"/>
      <c r="D224" s="568"/>
      <c r="E224" s="568"/>
      <c r="F224" s="568"/>
      <c r="G224" s="568"/>
      <c r="H224" s="568"/>
      <c r="I224" s="568"/>
      <c r="J224" s="568"/>
      <c r="K224" s="568"/>
      <c r="L224" s="568"/>
      <c r="M224" s="568"/>
      <c r="N224" s="568"/>
    </row>
    <row r="226" spans="9:9" x14ac:dyDescent="0.3">
      <c r="I226" s="472"/>
    </row>
  </sheetData>
  <hyperlinks>
    <hyperlink ref="I10" r:id="rId1" xr:uid="{00000000-0004-0000-3500-000000000000}"/>
    <hyperlink ref="K202" r:id="rId2" xr:uid="{00000000-0004-0000-35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4" max="14" man="1"/>
    <brk id="170" max="14" man="1"/>
  </rowBreaks>
  <colBreaks count="1" manualBreakCount="1">
    <brk id="14" max="224" man="1"/>
  </colBreaks>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89CB31"/>
  </sheetPr>
  <dimension ref="A1:P228"/>
  <sheetViews>
    <sheetView tabSelected="1" showOutlineSymbols="0" zoomScale="70" zoomScaleNormal="70" workbookViewId="0"/>
  </sheetViews>
  <sheetFormatPr defaultColWidth="9.81640625" defaultRowHeight="15.6" x14ac:dyDescent="0.3"/>
  <cols>
    <col min="1" max="1" width="4.81640625" style="388" customWidth="1"/>
    <col min="2" max="2" width="64.81640625" style="388" customWidth="1"/>
    <col min="3" max="3" width="15.453125" style="388" customWidth="1"/>
    <col min="4" max="4" width="10.81640625" style="388" customWidth="1"/>
    <col min="5" max="5" width="13.81640625" style="388" customWidth="1"/>
    <col min="6" max="6" width="8.08984375" style="388" customWidth="1"/>
    <col min="7" max="7" width="15.81640625" style="388" customWidth="1"/>
    <col min="8" max="8" width="8.1796875" style="388" customWidth="1"/>
    <col min="9" max="9" width="19.453125" style="388" customWidth="1"/>
    <col min="10" max="10" width="9.81640625" style="388" customWidth="1"/>
    <col min="11" max="11" width="18.81640625" style="388" customWidth="1"/>
    <col min="12" max="12" width="7.453125" style="388" customWidth="1"/>
    <col min="13" max="13" width="14.81640625" style="388" customWidth="1"/>
    <col min="14" max="14" width="23.453125" style="388" customWidth="1"/>
    <col min="15" max="16384" width="9.81640625" style="388"/>
  </cols>
  <sheetData>
    <row r="1" spans="1:15" ht="21" x14ac:dyDescent="0.4">
      <c r="A1" s="383"/>
      <c r="B1" s="384" t="s">
        <v>148</v>
      </c>
      <c r="C1" s="385"/>
      <c r="D1" s="385"/>
      <c r="E1" s="386"/>
      <c r="F1" s="386"/>
      <c r="G1" s="386"/>
      <c r="H1" s="386"/>
      <c r="I1" s="386"/>
      <c r="J1" s="386"/>
      <c r="K1" s="386"/>
      <c r="L1" s="386"/>
      <c r="M1" s="386"/>
      <c r="N1" s="590"/>
      <c r="O1" s="387"/>
    </row>
    <row r="2" spans="1:15" x14ac:dyDescent="0.3">
      <c r="A2" s="389"/>
      <c r="B2" s="390"/>
      <c r="C2" s="390"/>
      <c r="D2" s="390"/>
      <c r="E2" s="391"/>
      <c r="F2" s="391"/>
      <c r="G2" s="391"/>
      <c r="H2" s="391"/>
      <c r="I2" s="391"/>
      <c r="J2" s="391"/>
      <c r="K2" s="391"/>
      <c r="L2" s="391"/>
      <c r="M2" s="391"/>
      <c r="N2" s="591"/>
      <c r="O2" s="387"/>
    </row>
    <row r="3" spans="1:15" x14ac:dyDescent="0.3">
      <c r="A3" s="392"/>
      <c r="B3" s="393" t="s">
        <v>149</v>
      </c>
      <c r="C3" s="391"/>
      <c r="D3" s="391"/>
      <c r="E3" s="391"/>
      <c r="F3" s="391"/>
      <c r="G3" s="391"/>
      <c r="H3" s="391"/>
      <c r="I3" s="391"/>
      <c r="J3" s="391"/>
      <c r="K3" s="391"/>
      <c r="L3" s="391"/>
      <c r="M3" s="391"/>
      <c r="N3" s="591"/>
      <c r="O3" s="387"/>
    </row>
    <row r="4" spans="1:15" x14ac:dyDescent="0.3">
      <c r="A4" s="389"/>
      <c r="B4" s="390"/>
      <c r="C4" s="390"/>
      <c r="D4" s="390"/>
      <c r="E4" s="391"/>
      <c r="F4" s="391"/>
      <c r="G4" s="391"/>
      <c r="H4" s="391"/>
      <c r="I4" s="391"/>
      <c r="J4" s="391"/>
      <c r="K4" s="391"/>
      <c r="L4" s="391"/>
      <c r="M4" s="391"/>
      <c r="N4" s="591"/>
      <c r="O4" s="387"/>
    </row>
    <row r="5" spans="1:15" x14ac:dyDescent="0.3">
      <c r="A5" s="389"/>
      <c r="B5" s="394" t="s">
        <v>0</v>
      </c>
      <c r="C5" s="395"/>
      <c r="D5" s="395"/>
      <c r="E5" s="391"/>
      <c r="F5" s="391"/>
      <c r="G5" s="391"/>
      <c r="H5" s="391"/>
      <c r="I5" s="391"/>
      <c r="J5" s="391"/>
      <c r="K5" s="391"/>
      <c r="L5" s="391"/>
      <c r="M5" s="391"/>
      <c r="N5" s="591"/>
      <c r="O5" s="387"/>
    </row>
    <row r="6" spans="1:15" x14ac:dyDescent="0.3">
      <c r="A6" s="389"/>
      <c r="B6" s="394" t="s">
        <v>1</v>
      </c>
      <c r="C6" s="395"/>
      <c r="D6" s="395"/>
      <c r="E6" s="391"/>
      <c r="F6" s="391"/>
      <c r="G6" s="391"/>
      <c r="H6" s="391"/>
      <c r="I6" s="391"/>
      <c r="J6" s="391"/>
      <c r="K6" s="391"/>
      <c r="L6" s="391"/>
      <c r="M6" s="391"/>
      <c r="N6" s="591"/>
      <c r="O6" s="387"/>
    </row>
    <row r="7" spans="1:15" x14ac:dyDescent="0.3">
      <c r="A7" s="389"/>
      <c r="B7" s="394" t="s">
        <v>2</v>
      </c>
      <c r="C7" s="395"/>
      <c r="D7" s="395"/>
      <c r="E7" s="391"/>
      <c r="F7" s="391"/>
      <c r="G7" s="391"/>
      <c r="H7" s="391"/>
      <c r="I7" s="391"/>
      <c r="J7" s="391"/>
      <c r="K7" s="391"/>
      <c r="L7" s="391"/>
      <c r="M7" s="391"/>
      <c r="N7" s="591"/>
      <c r="O7" s="387"/>
    </row>
    <row r="8" spans="1:15" x14ac:dyDescent="0.3">
      <c r="A8" s="389"/>
      <c r="B8" s="394" t="s">
        <v>3</v>
      </c>
      <c r="C8" s="395"/>
      <c r="D8" s="395"/>
      <c r="E8" s="391"/>
      <c r="F8" s="391"/>
      <c r="G8" s="391"/>
      <c r="H8" s="391"/>
      <c r="I8" s="391"/>
      <c r="J8" s="391"/>
      <c r="K8" s="391"/>
      <c r="L8" s="391"/>
      <c r="M8" s="391"/>
      <c r="N8" s="591"/>
      <c r="O8" s="387"/>
    </row>
    <row r="9" spans="1:15" x14ac:dyDescent="0.3">
      <c r="A9" s="389"/>
      <c r="B9" s="391"/>
      <c r="C9" s="395"/>
      <c r="D9" s="395"/>
      <c r="E9" s="391"/>
      <c r="F9" s="391"/>
      <c r="G9" s="391"/>
      <c r="H9" s="391"/>
      <c r="I9" s="391"/>
      <c r="J9" s="391"/>
      <c r="K9" s="391"/>
      <c r="L9" s="391"/>
      <c r="M9" s="391"/>
      <c r="N9" s="591"/>
      <c r="O9" s="387"/>
    </row>
    <row r="10" spans="1:15" ht="18" x14ac:dyDescent="0.35">
      <c r="A10" s="389"/>
      <c r="B10" s="396" t="s">
        <v>198</v>
      </c>
      <c r="C10" s="395"/>
      <c r="D10" s="395"/>
      <c r="E10" s="391"/>
      <c r="F10" s="391"/>
      <c r="G10" s="391"/>
      <c r="H10" s="391"/>
      <c r="I10" s="397" t="s">
        <v>286</v>
      </c>
      <c r="J10" s="391"/>
      <c r="K10" s="391"/>
      <c r="L10" s="391"/>
      <c r="M10" s="391"/>
      <c r="N10" s="591"/>
      <c r="O10" s="387"/>
    </row>
    <row r="11" spans="1:15" x14ac:dyDescent="0.3">
      <c r="A11" s="389"/>
      <c r="B11" s="398"/>
      <c r="C11" s="395"/>
      <c r="D11" s="395"/>
      <c r="E11" s="399"/>
      <c r="F11" s="399"/>
      <c r="G11" s="391"/>
      <c r="H11" s="391"/>
      <c r="I11" s="391"/>
      <c r="J11" s="391"/>
      <c r="K11" s="391"/>
      <c r="L11" s="391"/>
      <c r="M11" s="391"/>
      <c r="N11" s="591"/>
      <c r="O11" s="387"/>
    </row>
    <row r="12" spans="1:15" x14ac:dyDescent="0.3">
      <c r="A12" s="389"/>
      <c r="B12" s="400" t="s">
        <v>4</v>
      </c>
      <c r="C12" s="400"/>
      <c r="D12" s="400"/>
      <c r="E12" s="401"/>
      <c r="F12" s="401"/>
      <c r="G12" s="401"/>
      <c r="H12" s="401"/>
      <c r="I12" s="401"/>
      <c r="J12" s="401"/>
      <c r="K12" s="401"/>
      <c r="L12" s="401"/>
      <c r="M12" s="401"/>
      <c r="N12" s="591"/>
      <c r="O12" s="387"/>
    </row>
    <row r="13" spans="1:15" ht="16.2" thickBot="1" x14ac:dyDescent="0.35">
      <c r="A13" s="389"/>
      <c r="B13" s="400"/>
      <c r="C13" s="400"/>
      <c r="D13" s="400"/>
      <c r="E13" s="401"/>
      <c r="F13" s="401"/>
      <c r="G13" s="401"/>
      <c r="H13" s="401"/>
      <c r="I13" s="401"/>
      <c r="J13" s="401"/>
      <c r="K13" s="401"/>
      <c r="L13" s="401"/>
      <c r="M13" s="401"/>
      <c r="N13" s="591"/>
      <c r="O13" s="387"/>
    </row>
    <row r="14" spans="1:15" x14ac:dyDescent="0.3">
      <c r="A14" s="383"/>
      <c r="B14" s="402"/>
      <c r="C14" s="402"/>
      <c r="D14" s="402"/>
      <c r="E14" s="402"/>
      <c r="F14" s="402"/>
      <c r="G14" s="402"/>
      <c r="H14" s="402"/>
      <c r="I14" s="402"/>
      <c r="J14" s="402"/>
      <c r="K14" s="402"/>
      <c r="L14" s="402"/>
      <c r="M14" s="402"/>
      <c r="N14" s="590"/>
      <c r="O14" s="387"/>
    </row>
    <row r="15" spans="1:15" x14ac:dyDescent="0.3">
      <c r="A15" s="389"/>
      <c r="B15" s="400" t="s">
        <v>5</v>
      </c>
      <c r="C15" s="400"/>
      <c r="D15" s="400"/>
      <c r="E15" s="401"/>
      <c r="F15" s="401"/>
      <c r="G15" s="401"/>
      <c r="H15" s="401"/>
      <c r="I15" s="401"/>
      <c r="J15" s="401"/>
      <c r="K15" s="401"/>
      <c r="L15" s="401"/>
      <c r="M15" s="403" t="s">
        <v>151</v>
      </c>
      <c r="N15" s="592"/>
      <c r="O15" s="387"/>
    </row>
    <row r="16" spans="1:15" x14ac:dyDescent="0.3">
      <c r="A16" s="389"/>
      <c r="B16" s="400" t="s">
        <v>6</v>
      </c>
      <c r="C16" s="400"/>
      <c r="D16" s="400"/>
      <c r="E16" s="401"/>
      <c r="F16" s="401"/>
      <c r="G16" s="401"/>
      <c r="H16" s="401"/>
      <c r="I16" s="404"/>
      <c r="J16" s="405"/>
      <c r="K16" s="404" t="s">
        <v>150</v>
      </c>
      <c r="L16" s="405">
        <v>1</v>
      </c>
      <c r="M16" s="403"/>
      <c r="N16" s="592"/>
      <c r="O16" s="387"/>
    </row>
    <row r="17" spans="1:15" x14ac:dyDescent="0.3">
      <c r="A17" s="389"/>
      <c r="B17" s="400" t="s">
        <v>7</v>
      </c>
      <c r="C17" s="400"/>
      <c r="D17" s="400"/>
      <c r="E17" s="401"/>
      <c r="F17" s="401"/>
      <c r="G17" s="401"/>
      <c r="H17" s="401"/>
      <c r="I17" s="404"/>
      <c r="J17" s="405"/>
      <c r="K17" s="404" t="s">
        <v>150</v>
      </c>
      <c r="L17" s="405">
        <v>1</v>
      </c>
      <c r="M17" s="403"/>
      <c r="N17" s="592"/>
      <c r="O17" s="387"/>
    </row>
    <row r="18" spans="1:15" x14ac:dyDescent="0.3">
      <c r="A18" s="389"/>
      <c r="B18" s="400" t="s">
        <v>8</v>
      </c>
      <c r="C18" s="400"/>
      <c r="D18" s="400"/>
      <c r="E18" s="401"/>
      <c r="F18" s="401"/>
      <c r="G18" s="401"/>
      <c r="H18" s="401"/>
      <c r="I18" s="401"/>
      <c r="J18" s="401"/>
      <c r="K18" s="401"/>
      <c r="L18" s="401"/>
      <c r="M18" s="406">
        <v>38336</v>
      </c>
      <c r="N18" s="592"/>
      <c r="O18" s="387"/>
    </row>
    <row r="19" spans="1:15" x14ac:dyDescent="0.3">
      <c r="A19" s="389"/>
      <c r="B19" s="400" t="s">
        <v>9</v>
      </c>
      <c r="C19" s="400"/>
      <c r="D19" s="400"/>
      <c r="E19" s="401"/>
      <c r="F19" s="401"/>
      <c r="G19" s="401"/>
      <c r="H19" s="401"/>
      <c r="I19" s="401"/>
      <c r="J19" s="401"/>
      <c r="K19" s="401"/>
      <c r="L19" s="401"/>
      <c r="M19" s="406">
        <v>43426</v>
      </c>
      <c r="N19" s="592"/>
      <c r="O19" s="387"/>
    </row>
    <row r="20" spans="1:15" x14ac:dyDescent="0.3">
      <c r="A20" s="389"/>
      <c r="B20" s="401"/>
      <c r="C20" s="401"/>
      <c r="D20" s="401"/>
      <c r="E20" s="401"/>
      <c r="F20" s="401"/>
      <c r="G20" s="401"/>
      <c r="H20" s="401"/>
      <c r="I20" s="401"/>
      <c r="J20" s="401"/>
      <c r="K20" s="401"/>
      <c r="L20" s="401"/>
      <c r="M20" s="407"/>
      <c r="N20" s="591"/>
      <c r="O20" s="387"/>
    </row>
    <row r="21" spans="1:15" x14ac:dyDescent="0.3">
      <c r="A21" s="389"/>
      <c r="B21" s="408" t="s">
        <v>10</v>
      </c>
      <c r="C21" s="401"/>
      <c r="D21" s="401"/>
      <c r="E21" s="401"/>
      <c r="F21" s="401"/>
      <c r="G21" s="401"/>
      <c r="H21" s="401"/>
      <c r="I21" s="401"/>
      <c r="J21" s="401"/>
      <c r="K21" s="407" t="s">
        <v>130</v>
      </c>
      <c r="L21" s="401"/>
      <c r="M21" s="401"/>
      <c r="N21" s="591"/>
      <c r="O21" s="387"/>
    </row>
    <row r="22" spans="1:15" x14ac:dyDescent="0.3">
      <c r="A22" s="389"/>
      <c r="B22" s="391"/>
      <c r="C22" s="391"/>
      <c r="D22" s="391"/>
      <c r="E22" s="391"/>
      <c r="F22" s="391"/>
      <c r="G22" s="391"/>
      <c r="H22" s="391"/>
      <c r="I22" s="391"/>
      <c r="J22" s="391"/>
      <c r="K22" s="391"/>
      <c r="L22" s="391"/>
      <c r="M22" s="409"/>
      <c r="N22" s="591"/>
      <c r="O22" s="387"/>
    </row>
    <row r="23" spans="1:15" x14ac:dyDescent="0.3">
      <c r="A23" s="410"/>
      <c r="B23" s="576"/>
      <c r="C23" s="577" t="s">
        <v>131</v>
      </c>
      <c r="D23" s="577"/>
      <c r="E23" s="577" t="s">
        <v>124</v>
      </c>
      <c r="F23" s="577"/>
      <c r="G23" s="577" t="s">
        <v>152</v>
      </c>
      <c r="H23" s="577"/>
      <c r="I23" s="577"/>
      <c r="J23" s="578"/>
      <c r="K23" s="578"/>
      <c r="L23" s="576"/>
      <c r="M23" s="576"/>
      <c r="N23" s="579"/>
      <c r="O23" s="387"/>
    </row>
    <row r="24" spans="1:15" x14ac:dyDescent="0.3">
      <c r="A24" s="570"/>
      <c r="B24" s="571" t="s">
        <v>156</v>
      </c>
      <c r="C24" s="572" t="s">
        <v>121</v>
      </c>
      <c r="D24" s="572"/>
      <c r="E24" s="572" t="s">
        <v>125</v>
      </c>
      <c r="F24" s="572"/>
      <c r="G24" s="572" t="s">
        <v>158</v>
      </c>
      <c r="H24" s="573"/>
      <c r="I24" s="573"/>
      <c r="J24" s="573"/>
      <c r="K24" s="573"/>
      <c r="L24" s="574"/>
      <c r="M24" s="574"/>
      <c r="N24" s="575"/>
      <c r="O24" s="387"/>
    </row>
    <row r="25" spans="1:15" x14ac:dyDescent="0.3">
      <c r="A25" s="412"/>
      <c r="B25" s="413" t="s">
        <v>11</v>
      </c>
      <c r="C25" s="414" t="s">
        <v>121</v>
      </c>
      <c r="D25" s="414"/>
      <c r="E25" s="414" t="s">
        <v>125</v>
      </c>
      <c r="F25" s="414"/>
      <c r="G25" s="414" t="s">
        <v>158</v>
      </c>
      <c r="H25" s="415"/>
      <c r="I25" s="415"/>
      <c r="J25" s="415"/>
      <c r="K25" s="415"/>
      <c r="L25" s="416"/>
      <c r="M25" s="416"/>
      <c r="N25" s="417"/>
      <c r="O25" s="387"/>
    </row>
    <row r="26" spans="1:15" x14ac:dyDescent="0.3">
      <c r="A26" s="418"/>
      <c r="B26" s="419" t="s">
        <v>157</v>
      </c>
      <c r="C26" s="420" t="s">
        <v>121</v>
      </c>
      <c r="D26" s="420"/>
      <c r="E26" s="420" t="s">
        <v>283</v>
      </c>
      <c r="F26" s="420"/>
      <c r="G26" s="420" t="s">
        <v>278</v>
      </c>
      <c r="H26" s="421"/>
      <c r="I26" s="421"/>
      <c r="J26" s="415"/>
      <c r="K26" s="415"/>
      <c r="L26" s="416"/>
      <c r="M26" s="416"/>
      <c r="N26" s="417"/>
      <c r="O26" s="387"/>
    </row>
    <row r="27" spans="1:15" x14ac:dyDescent="0.3">
      <c r="A27" s="418"/>
      <c r="B27" s="419" t="s">
        <v>12</v>
      </c>
      <c r="C27" s="420" t="s">
        <v>121</v>
      </c>
      <c r="D27" s="420"/>
      <c r="E27" s="420" t="s">
        <v>283</v>
      </c>
      <c r="F27" s="420"/>
      <c r="G27" s="420" t="s">
        <v>284</v>
      </c>
      <c r="H27" s="421"/>
      <c r="I27" s="421"/>
      <c r="J27" s="415"/>
      <c r="K27" s="415"/>
      <c r="L27" s="416"/>
      <c r="M27" s="416"/>
      <c r="N27" s="417"/>
      <c r="O27" s="387"/>
    </row>
    <row r="28" spans="1:15" x14ac:dyDescent="0.3">
      <c r="A28" s="412"/>
      <c r="B28" s="413" t="s">
        <v>13</v>
      </c>
      <c r="C28" s="422" t="s">
        <v>153</v>
      </c>
      <c r="D28" s="414"/>
      <c r="E28" s="422" t="s">
        <v>154</v>
      </c>
      <c r="F28" s="414"/>
      <c r="G28" s="422" t="s">
        <v>155</v>
      </c>
      <c r="H28" s="415"/>
      <c r="I28" s="423"/>
      <c r="J28" s="415"/>
      <c r="K28" s="423"/>
      <c r="L28" s="416"/>
      <c r="M28" s="416"/>
      <c r="N28" s="417"/>
      <c r="O28" s="387"/>
    </row>
    <row r="29" spans="1:15" x14ac:dyDescent="0.3">
      <c r="A29" s="412"/>
      <c r="B29" s="424"/>
      <c r="C29" s="424"/>
      <c r="D29" s="425"/>
      <c r="E29" s="425"/>
      <c r="F29" s="425"/>
      <c r="G29" s="425"/>
      <c r="H29" s="415"/>
      <c r="I29" s="415"/>
      <c r="J29" s="415"/>
      <c r="K29" s="415"/>
      <c r="L29" s="416"/>
      <c r="M29" s="416"/>
      <c r="N29" s="417"/>
      <c r="O29" s="387"/>
    </row>
    <row r="30" spans="1:15" x14ac:dyDescent="0.3">
      <c r="A30" s="412"/>
      <c r="B30" s="413" t="s">
        <v>14</v>
      </c>
      <c r="C30" s="426">
        <v>231000</v>
      </c>
      <c r="D30" s="427"/>
      <c r="E30" s="426">
        <v>42000</v>
      </c>
      <c r="F30" s="426"/>
      <c r="G30" s="426">
        <v>27000</v>
      </c>
      <c r="H30" s="426"/>
      <c r="I30" s="426"/>
      <c r="J30" s="426"/>
      <c r="K30" s="426"/>
      <c r="L30" s="427"/>
      <c r="M30" s="426">
        <f>C30+E30+G30</f>
        <v>300000</v>
      </c>
      <c r="N30" s="428"/>
      <c r="O30" s="387"/>
    </row>
    <row r="31" spans="1:15" x14ac:dyDescent="0.3">
      <c r="A31" s="412"/>
      <c r="B31" s="413" t="s">
        <v>290</v>
      </c>
      <c r="C31" s="426">
        <f>C30*C34</f>
        <v>18399.889199999998</v>
      </c>
      <c r="D31" s="427"/>
      <c r="E31" s="426">
        <f>E30*E34</f>
        <v>9578.8895999999986</v>
      </c>
      <c r="F31" s="426"/>
      <c r="G31" s="426">
        <f>G30*G34</f>
        <v>6157.8792000000003</v>
      </c>
      <c r="H31" s="426"/>
      <c r="I31" s="426"/>
      <c r="J31" s="426"/>
      <c r="K31" s="426"/>
      <c r="L31" s="427"/>
      <c r="M31" s="426">
        <f>C31+E31+G31</f>
        <v>34136.657999999996</v>
      </c>
      <c r="N31" s="428"/>
      <c r="O31" s="387"/>
    </row>
    <row r="32" spans="1:15" x14ac:dyDescent="0.3">
      <c r="A32" s="418"/>
      <c r="B32" s="419" t="s">
        <v>291</v>
      </c>
      <c r="C32" s="429">
        <f>C30*C33</f>
        <v>0</v>
      </c>
      <c r="D32" s="430"/>
      <c r="E32" s="429">
        <f>E30*E33</f>
        <v>0</v>
      </c>
      <c r="F32" s="429"/>
      <c r="G32" s="429">
        <f>G30*G33</f>
        <v>0</v>
      </c>
      <c r="H32" s="429"/>
      <c r="I32" s="429"/>
      <c r="J32" s="429"/>
      <c r="K32" s="429"/>
      <c r="L32" s="430"/>
      <c r="M32" s="426">
        <f>C32+E32+G32</f>
        <v>0</v>
      </c>
      <c r="N32" s="428"/>
      <c r="O32" s="387"/>
    </row>
    <row r="33" spans="1:15" x14ac:dyDescent="0.3">
      <c r="A33" s="418"/>
      <c r="B33" s="431" t="s">
        <v>174</v>
      </c>
      <c r="C33" s="432">
        <v>0</v>
      </c>
      <c r="D33" s="433"/>
      <c r="E33" s="432">
        <v>0</v>
      </c>
      <c r="F33" s="432"/>
      <c r="G33" s="432">
        <v>0</v>
      </c>
      <c r="H33" s="434"/>
      <c r="I33" s="434"/>
      <c r="J33" s="435"/>
      <c r="K33" s="435"/>
      <c r="L33" s="436"/>
      <c r="M33" s="435"/>
      <c r="N33" s="428"/>
      <c r="O33" s="387"/>
    </row>
    <row r="34" spans="1:15" x14ac:dyDescent="0.3">
      <c r="A34" s="418"/>
      <c r="B34" s="431" t="s">
        <v>175</v>
      </c>
      <c r="C34" s="432">
        <v>7.9653199999999993E-2</v>
      </c>
      <c r="D34" s="433"/>
      <c r="E34" s="432">
        <v>0.22806879999999999</v>
      </c>
      <c r="F34" s="432"/>
      <c r="G34" s="432">
        <v>0.22806960000000001</v>
      </c>
      <c r="H34" s="434"/>
      <c r="I34" s="434"/>
      <c r="J34" s="435"/>
      <c r="K34" s="435"/>
      <c r="L34" s="436"/>
      <c r="M34" s="435"/>
      <c r="N34" s="428"/>
      <c r="O34" s="387"/>
    </row>
    <row r="35" spans="1:15" x14ac:dyDescent="0.3">
      <c r="A35" s="412"/>
      <c r="B35" s="413" t="s">
        <v>17</v>
      </c>
      <c r="C35" s="422" t="s">
        <v>164</v>
      </c>
      <c r="D35" s="413"/>
      <c r="E35" s="422" t="s">
        <v>163</v>
      </c>
      <c r="F35" s="422"/>
      <c r="G35" s="422" t="s">
        <v>162</v>
      </c>
      <c r="H35" s="422"/>
      <c r="I35" s="422"/>
      <c r="J35" s="422"/>
      <c r="K35" s="422"/>
      <c r="L35" s="413"/>
      <c r="M35" s="413"/>
      <c r="N35" s="437"/>
      <c r="O35" s="387"/>
    </row>
    <row r="36" spans="1:15" x14ac:dyDescent="0.3">
      <c r="A36" s="412"/>
      <c r="B36" s="413" t="s">
        <v>18</v>
      </c>
      <c r="C36" s="438">
        <v>1.20175E-2</v>
      </c>
      <c r="D36" s="413"/>
      <c r="E36" s="438">
        <v>2.30175E-2</v>
      </c>
      <c r="F36" s="439"/>
      <c r="G36" s="438">
        <v>2.8017500000000001E-2</v>
      </c>
      <c r="H36" s="439"/>
      <c r="I36" s="438"/>
      <c r="J36" s="439"/>
      <c r="K36" s="438"/>
      <c r="L36" s="413"/>
      <c r="M36" s="439">
        <f>SUMPRODUCT(C36:G36,C31:G31)/M31</f>
        <v>1.7990370947120839E-2</v>
      </c>
      <c r="N36" s="437"/>
      <c r="O36" s="387"/>
    </row>
    <row r="37" spans="1:15" x14ac:dyDescent="0.3">
      <c r="A37" s="412"/>
      <c r="B37" s="413" t="s">
        <v>19</v>
      </c>
      <c r="C37" s="438">
        <v>1.04031E-2</v>
      </c>
      <c r="D37" s="413"/>
      <c r="E37" s="438">
        <v>2.1403100000000001E-2</v>
      </c>
      <c r="F37" s="439"/>
      <c r="G37" s="438">
        <v>2.6403099999999999E-2</v>
      </c>
      <c r="H37" s="439"/>
      <c r="I37" s="438"/>
      <c r="J37" s="439"/>
      <c r="K37" s="438"/>
      <c r="L37" s="413"/>
      <c r="M37" s="413"/>
      <c r="N37" s="437"/>
      <c r="O37" s="387"/>
    </row>
    <row r="38" spans="1:15" x14ac:dyDescent="0.3">
      <c r="A38" s="412"/>
      <c r="B38" s="413" t="s">
        <v>20</v>
      </c>
      <c r="C38" s="440">
        <v>39767</v>
      </c>
      <c r="D38" s="440"/>
      <c r="E38" s="440">
        <v>39767</v>
      </c>
      <c r="F38" s="440"/>
      <c r="G38" s="440">
        <v>39767</v>
      </c>
      <c r="H38" s="440"/>
      <c r="I38" s="440"/>
      <c r="J38" s="422"/>
      <c r="K38" s="422"/>
      <c r="L38" s="413"/>
      <c r="M38" s="413"/>
      <c r="N38" s="437"/>
      <c r="O38" s="387"/>
    </row>
    <row r="39" spans="1:15" x14ac:dyDescent="0.3">
      <c r="A39" s="412"/>
      <c r="B39" s="413" t="s">
        <v>21</v>
      </c>
      <c r="C39" s="440">
        <v>40132</v>
      </c>
      <c r="D39" s="440"/>
      <c r="E39" s="440">
        <v>40132</v>
      </c>
      <c r="F39" s="440"/>
      <c r="G39" s="440">
        <v>40132</v>
      </c>
      <c r="H39" s="440"/>
      <c r="I39" s="440"/>
      <c r="J39" s="422"/>
      <c r="K39" s="422"/>
      <c r="L39" s="413"/>
      <c r="M39" s="413"/>
      <c r="N39" s="437"/>
      <c r="O39" s="387"/>
    </row>
    <row r="40" spans="1:15" x14ac:dyDescent="0.3">
      <c r="A40" s="412"/>
      <c r="B40" s="413" t="s">
        <v>22</v>
      </c>
      <c r="C40" s="422" t="s">
        <v>164</v>
      </c>
      <c r="D40" s="413"/>
      <c r="E40" s="422" t="s">
        <v>163</v>
      </c>
      <c r="F40" s="422"/>
      <c r="G40" s="422" t="s">
        <v>162</v>
      </c>
      <c r="H40" s="422"/>
      <c r="I40" s="422"/>
      <c r="J40" s="422"/>
      <c r="K40" s="422"/>
      <c r="L40" s="413"/>
      <c r="M40" s="413"/>
      <c r="N40" s="437"/>
      <c r="O40" s="387"/>
    </row>
    <row r="41" spans="1:15" x14ac:dyDescent="0.3">
      <c r="A41" s="412"/>
      <c r="B41" s="413"/>
      <c r="C41" s="413"/>
      <c r="D41" s="413"/>
      <c r="E41" s="438"/>
      <c r="F41" s="413"/>
      <c r="G41" s="438"/>
      <c r="H41" s="422"/>
      <c r="I41" s="422"/>
      <c r="J41" s="441"/>
      <c r="K41" s="441"/>
      <c r="L41" s="441"/>
      <c r="M41" s="441"/>
      <c r="N41" s="437"/>
      <c r="O41" s="387"/>
    </row>
    <row r="42" spans="1:15" x14ac:dyDescent="0.3">
      <c r="A42" s="412"/>
      <c r="B42" s="413" t="s">
        <v>178</v>
      </c>
      <c r="C42" s="413"/>
      <c r="D42" s="413"/>
      <c r="E42" s="442"/>
      <c r="F42" s="413"/>
      <c r="G42" s="442"/>
      <c r="H42" s="413"/>
      <c r="I42" s="442"/>
      <c r="J42" s="413"/>
      <c r="K42" s="413"/>
      <c r="L42" s="413"/>
      <c r="M42" s="439">
        <f>(E30+G30)/C30</f>
        <v>0.29870129870129869</v>
      </c>
      <c r="N42" s="437"/>
      <c r="O42" s="387"/>
    </row>
    <row r="43" spans="1:15" x14ac:dyDescent="0.3">
      <c r="A43" s="412"/>
      <c r="B43" s="413" t="s">
        <v>179</v>
      </c>
      <c r="C43" s="413"/>
      <c r="D43" s="413"/>
      <c r="E43" s="442"/>
      <c r="F43" s="413"/>
      <c r="G43" s="442"/>
      <c r="H43" s="413"/>
      <c r="I43" s="442"/>
      <c r="J43" s="413"/>
      <c r="K43" s="413"/>
      <c r="L43" s="413"/>
      <c r="M43" s="439" t="s">
        <v>298</v>
      </c>
      <c r="N43" s="437"/>
      <c r="O43" s="387"/>
    </row>
    <row r="44" spans="1:15" x14ac:dyDescent="0.3">
      <c r="A44" s="412"/>
      <c r="B44" s="413" t="s">
        <v>23</v>
      </c>
      <c r="C44" s="413"/>
      <c r="D44" s="413"/>
      <c r="E44" s="413"/>
      <c r="F44" s="413"/>
      <c r="G44" s="413"/>
      <c r="H44" s="413"/>
      <c r="I44" s="413"/>
      <c r="J44" s="413"/>
      <c r="K44" s="422" t="s">
        <v>131</v>
      </c>
      <c r="L44" s="422" t="s">
        <v>138</v>
      </c>
      <c r="M44" s="426">
        <f>+M30/2-E30-G30</f>
        <v>81000</v>
      </c>
      <c r="N44" s="437"/>
      <c r="O44" s="387"/>
    </row>
    <row r="45" spans="1:15" x14ac:dyDescent="0.3">
      <c r="A45" s="412"/>
      <c r="B45" s="413"/>
      <c r="C45" s="413"/>
      <c r="D45" s="413"/>
      <c r="E45" s="413"/>
      <c r="F45" s="413"/>
      <c r="G45" s="413"/>
      <c r="H45" s="413"/>
      <c r="I45" s="413"/>
      <c r="J45" s="413"/>
      <c r="K45" s="413" t="s">
        <v>235</v>
      </c>
      <c r="L45" s="413"/>
      <c r="M45" s="443"/>
      <c r="N45" s="437"/>
      <c r="O45" s="387"/>
    </row>
    <row r="46" spans="1:15" x14ac:dyDescent="0.3">
      <c r="A46" s="412"/>
      <c r="B46" s="413" t="s">
        <v>24</v>
      </c>
      <c r="C46" s="413"/>
      <c r="D46" s="413"/>
      <c r="E46" s="413"/>
      <c r="F46" s="413"/>
      <c r="G46" s="413"/>
      <c r="H46" s="413"/>
      <c r="I46" s="413"/>
      <c r="J46" s="413"/>
      <c r="K46" s="422"/>
      <c r="L46" s="422"/>
      <c r="M46" s="422" t="s">
        <v>140</v>
      </c>
      <c r="N46" s="437"/>
      <c r="O46" s="387"/>
    </row>
    <row r="47" spans="1:15" x14ac:dyDescent="0.3">
      <c r="A47" s="412"/>
      <c r="B47" s="419" t="s">
        <v>25</v>
      </c>
      <c r="C47" s="419"/>
      <c r="D47" s="419"/>
      <c r="E47" s="419"/>
      <c r="F47" s="419"/>
      <c r="G47" s="419"/>
      <c r="H47" s="419"/>
      <c r="I47" s="419"/>
      <c r="J47" s="419"/>
      <c r="K47" s="444"/>
      <c r="L47" s="444"/>
      <c r="M47" s="445">
        <v>43419</v>
      </c>
      <c r="N47" s="437"/>
      <c r="O47" s="387"/>
    </row>
    <row r="48" spans="1:15" x14ac:dyDescent="0.3">
      <c r="A48" s="412"/>
      <c r="B48" s="413" t="s">
        <v>26</v>
      </c>
      <c r="C48" s="413"/>
      <c r="D48" s="413"/>
      <c r="E48" s="413"/>
      <c r="F48" s="413"/>
      <c r="G48" s="413"/>
      <c r="H48" s="413"/>
      <c r="I48" s="413"/>
      <c r="J48" s="413">
        <f>M48-K48+1</f>
        <v>92</v>
      </c>
      <c r="K48" s="446">
        <v>43235</v>
      </c>
      <c r="L48" s="447"/>
      <c r="M48" s="446">
        <v>43326</v>
      </c>
      <c r="N48" s="437"/>
      <c r="O48" s="387"/>
    </row>
    <row r="49" spans="1:15" x14ac:dyDescent="0.3">
      <c r="A49" s="412"/>
      <c r="B49" s="413" t="s">
        <v>27</v>
      </c>
      <c r="C49" s="413"/>
      <c r="D49" s="413"/>
      <c r="E49" s="413"/>
      <c r="F49" s="413"/>
      <c r="G49" s="413"/>
      <c r="H49" s="413"/>
      <c r="I49" s="413"/>
      <c r="J49" s="413">
        <f>M49-K49+1</f>
        <v>92</v>
      </c>
      <c r="K49" s="446">
        <v>43327</v>
      </c>
      <c r="L49" s="447"/>
      <c r="M49" s="446">
        <v>43418</v>
      </c>
      <c r="N49" s="437"/>
      <c r="O49" s="387"/>
    </row>
    <row r="50" spans="1:15" x14ac:dyDescent="0.3">
      <c r="A50" s="412"/>
      <c r="B50" s="413" t="s">
        <v>28</v>
      </c>
      <c r="C50" s="413"/>
      <c r="D50" s="413"/>
      <c r="E50" s="413"/>
      <c r="F50" s="413"/>
      <c r="G50" s="413"/>
      <c r="H50" s="413"/>
      <c r="I50" s="413"/>
      <c r="J50" s="413"/>
      <c r="K50" s="446"/>
      <c r="L50" s="447"/>
      <c r="M50" s="446" t="s">
        <v>141</v>
      </c>
      <c r="N50" s="437"/>
      <c r="O50" s="387"/>
    </row>
    <row r="51" spans="1:15" x14ac:dyDescent="0.3">
      <c r="A51" s="412"/>
      <c r="B51" s="413" t="s">
        <v>29</v>
      </c>
      <c r="C51" s="413"/>
      <c r="D51" s="413"/>
      <c r="E51" s="413"/>
      <c r="F51" s="413"/>
      <c r="G51" s="413"/>
      <c r="H51" s="413"/>
      <c r="I51" s="413"/>
      <c r="J51" s="413"/>
      <c r="K51" s="446"/>
      <c r="L51" s="447"/>
      <c r="M51" s="446">
        <v>43405</v>
      </c>
      <c r="N51" s="437"/>
      <c r="O51" s="387"/>
    </row>
    <row r="52" spans="1:15" x14ac:dyDescent="0.3">
      <c r="A52" s="389"/>
      <c r="B52" s="448"/>
      <c r="C52" s="448"/>
      <c r="D52" s="448"/>
      <c r="E52" s="448"/>
      <c r="F52" s="448"/>
      <c r="G52" s="448"/>
      <c r="H52" s="448"/>
      <c r="I52" s="448"/>
      <c r="J52" s="448"/>
      <c r="K52" s="449"/>
      <c r="L52" s="450"/>
      <c r="M52" s="449"/>
      <c r="N52" s="591"/>
      <c r="O52" s="387"/>
    </row>
    <row r="53" spans="1:15" x14ac:dyDescent="0.3">
      <c r="A53" s="389"/>
      <c r="B53" s="391"/>
      <c r="C53" s="391"/>
      <c r="D53" s="391"/>
      <c r="E53" s="391"/>
      <c r="F53" s="391"/>
      <c r="G53" s="391"/>
      <c r="H53" s="391"/>
      <c r="I53" s="391"/>
      <c r="J53" s="391"/>
      <c r="K53" s="451"/>
      <c r="L53" s="452"/>
      <c r="M53" s="451"/>
      <c r="N53" s="591"/>
      <c r="O53" s="387"/>
    </row>
    <row r="54" spans="1:15" ht="18.600000000000001" thickBot="1" x14ac:dyDescent="0.4">
      <c r="A54" s="453"/>
      <c r="B54" s="454" t="s">
        <v>295</v>
      </c>
      <c r="C54" s="455"/>
      <c r="D54" s="455"/>
      <c r="E54" s="455"/>
      <c r="F54" s="455"/>
      <c r="G54" s="455"/>
      <c r="H54" s="455"/>
      <c r="I54" s="455"/>
      <c r="J54" s="455"/>
      <c r="K54" s="455"/>
      <c r="L54" s="455"/>
      <c r="M54" s="456"/>
      <c r="N54" s="457"/>
      <c r="O54" s="387"/>
    </row>
    <row r="55" spans="1:15" x14ac:dyDescent="0.3">
      <c r="A55" s="410"/>
      <c r="B55" s="458" t="s">
        <v>30</v>
      </c>
      <c r="C55" s="459"/>
      <c r="D55" s="459"/>
      <c r="E55" s="411"/>
      <c r="F55" s="411"/>
      <c r="G55" s="411"/>
      <c r="H55" s="411"/>
      <c r="I55" s="411"/>
      <c r="J55" s="411"/>
      <c r="K55" s="411"/>
      <c r="L55" s="411"/>
      <c r="M55" s="460"/>
      <c r="N55" s="579"/>
      <c r="O55" s="387"/>
    </row>
    <row r="56" spans="1:15" x14ac:dyDescent="0.3">
      <c r="A56" s="389"/>
      <c r="B56" s="399"/>
      <c r="C56" s="399"/>
      <c r="D56" s="399"/>
      <c r="E56" s="391"/>
      <c r="F56" s="391"/>
      <c r="G56" s="391"/>
      <c r="H56" s="391"/>
      <c r="I56" s="391"/>
      <c r="J56" s="391"/>
      <c r="K56" s="391"/>
      <c r="L56" s="391"/>
      <c r="M56" s="461"/>
      <c r="N56" s="591"/>
      <c r="O56" s="387"/>
    </row>
    <row r="57" spans="1:15" ht="46.8" x14ac:dyDescent="0.3">
      <c r="A57" s="389"/>
      <c r="B57" s="462" t="s">
        <v>31</v>
      </c>
      <c r="C57" s="463" t="s">
        <v>119</v>
      </c>
      <c r="D57" s="463"/>
      <c r="E57" s="463" t="s">
        <v>122</v>
      </c>
      <c r="F57" s="463"/>
      <c r="G57" s="463" t="s">
        <v>123</v>
      </c>
      <c r="H57" s="463"/>
      <c r="I57" s="463" t="s">
        <v>126</v>
      </c>
      <c r="J57" s="463"/>
      <c r="K57" s="463" t="s">
        <v>132</v>
      </c>
      <c r="L57" s="463"/>
      <c r="M57" s="464" t="s">
        <v>142</v>
      </c>
      <c r="N57" s="593"/>
      <c r="O57" s="387"/>
    </row>
    <row r="58" spans="1:15" x14ac:dyDescent="0.3">
      <c r="A58" s="412"/>
      <c r="B58" s="413" t="s">
        <v>32</v>
      </c>
      <c r="C58" s="466">
        <f>240614-323</f>
        <v>240291</v>
      </c>
      <c r="D58" s="466"/>
      <c r="E58" s="467">
        <v>34137</v>
      </c>
      <c r="F58" s="466"/>
      <c r="G58" s="466">
        <v>34137</v>
      </c>
      <c r="H58" s="466"/>
      <c r="I58" s="466">
        <v>0</v>
      </c>
      <c r="J58" s="466"/>
      <c r="K58" s="466">
        <v>0</v>
      </c>
      <c r="L58" s="466"/>
      <c r="M58" s="467">
        <f>E58-G58+I58-K58</f>
        <v>0</v>
      </c>
      <c r="N58" s="417"/>
      <c r="O58" s="387"/>
    </row>
    <row r="59" spans="1:15" x14ac:dyDescent="0.3">
      <c r="A59" s="412"/>
      <c r="B59" s="413" t="s">
        <v>33</v>
      </c>
      <c r="C59" s="466">
        <f>748-206</f>
        <v>542</v>
      </c>
      <c r="D59" s="466"/>
      <c r="E59" s="467">
        <v>0</v>
      </c>
      <c r="F59" s="466"/>
      <c r="G59" s="466">
        <v>0</v>
      </c>
      <c r="H59" s="466"/>
      <c r="I59" s="466">
        <v>0</v>
      </c>
      <c r="J59" s="466"/>
      <c r="K59" s="466">
        <v>0</v>
      </c>
      <c r="L59" s="466"/>
      <c r="M59" s="467">
        <f>E59-G59+I59-K59</f>
        <v>0</v>
      </c>
      <c r="N59" s="417"/>
      <c r="O59" s="387"/>
    </row>
    <row r="60" spans="1:15" x14ac:dyDescent="0.3">
      <c r="A60" s="412"/>
      <c r="B60" s="413"/>
      <c r="C60" s="466"/>
      <c r="D60" s="466"/>
      <c r="E60" s="467"/>
      <c r="F60" s="466"/>
      <c r="G60" s="466">
        <v>0</v>
      </c>
      <c r="H60" s="466"/>
      <c r="I60" s="466">
        <v>0</v>
      </c>
      <c r="J60" s="466"/>
      <c r="K60" s="466">
        <v>0</v>
      </c>
      <c r="L60" s="466"/>
      <c r="M60" s="467">
        <f>E60-G60+I60-K60</f>
        <v>0</v>
      </c>
      <c r="N60" s="417"/>
      <c r="O60" s="387"/>
    </row>
    <row r="61" spans="1:15" x14ac:dyDescent="0.3">
      <c r="A61" s="412"/>
      <c r="B61" s="413"/>
      <c r="C61" s="466"/>
      <c r="D61" s="466"/>
      <c r="E61" s="467"/>
      <c r="F61" s="466"/>
      <c r="G61" s="466"/>
      <c r="H61" s="466"/>
      <c r="I61" s="466"/>
      <c r="J61" s="466"/>
      <c r="K61" s="466"/>
      <c r="L61" s="466"/>
      <c r="M61" s="467"/>
      <c r="N61" s="417"/>
      <c r="O61" s="387"/>
    </row>
    <row r="62" spans="1:15" x14ac:dyDescent="0.3">
      <c r="A62" s="412"/>
      <c r="B62" s="413" t="s">
        <v>34</v>
      </c>
      <c r="C62" s="466">
        <f>SUM(C58:C61)</f>
        <v>240833</v>
      </c>
      <c r="D62" s="466"/>
      <c r="E62" s="466">
        <f>E58+E59+E60</f>
        <v>34137</v>
      </c>
      <c r="F62" s="466"/>
      <c r="G62" s="466">
        <f>SUM(G58:G61)</f>
        <v>34137</v>
      </c>
      <c r="H62" s="466"/>
      <c r="I62" s="466">
        <f>SUM(I58:I61)</f>
        <v>0</v>
      </c>
      <c r="J62" s="466"/>
      <c r="K62" s="466">
        <f>SUM(K58:K61)</f>
        <v>0</v>
      </c>
      <c r="L62" s="466"/>
      <c r="M62" s="466">
        <f>SUM(M58:M61)</f>
        <v>0</v>
      </c>
      <c r="N62" s="417"/>
      <c r="O62" s="387"/>
    </row>
    <row r="63" spans="1:15" x14ac:dyDescent="0.3">
      <c r="A63" s="389"/>
      <c r="B63" s="448"/>
      <c r="C63" s="468"/>
      <c r="D63" s="468"/>
      <c r="E63" s="468"/>
      <c r="F63" s="468"/>
      <c r="G63" s="468"/>
      <c r="H63" s="468"/>
      <c r="I63" s="468"/>
      <c r="J63" s="468"/>
      <c r="K63" s="468"/>
      <c r="L63" s="468"/>
      <c r="M63" s="469"/>
      <c r="N63" s="591"/>
      <c r="O63" s="387"/>
    </row>
    <row r="64" spans="1:15" x14ac:dyDescent="0.3">
      <c r="A64" s="389"/>
      <c r="B64" s="393" t="s">
        <v>35</v>
      </c>
      <c r="C64" s="470"/>
      <c r="D64" s="470"/>
      <c r="E64" s="470"/>
      <c r="F64" s="470"/>
      <c r="G64" s="470"/>
      <c r="H64" s="470"/>
      <c r="I64" s="470"/>
      <c r="J64" s="470"/>
      <c r="K64" s="470"/>
      <c r="L64" s="470"/>
      <c r="M64" s="471"/>
      <c r="N64" s="591"/>
      <c r="O64" s="387"/>
    </row>
    <row r="65" spans="1:16" x14ac:dyDescent="0.3">
      <c r="A65" s="389"/>
      <c r="B65" s="391"/>
      <c r="C65" s="470"/>
      <c r="D65" s="470"/>
      <c r="E65" s="470"/>
      <c r="F65" s="470"/>
      <c r="G65" s="470"/>
      <c r="H65" s="470"/>
      <c r="I65" s="470"/>
      <c r="J65" s="470"/>
      <c r="K65" s="470"/>
      <c r="L65" s="470"/>
      <c r="M65" s="471"/>
      <c r="N65" s="591"/>
      <c r="O65" s="387"/>
    </row>
    <row r="66" spans="1:16" x14ac:dyDescent="0.3">
      <c r="A66" s="412"/>
      <c r="B66" s="413" t="s">
        <v>32</v>
      </c>
      <c r="C66" s="466"/>
      <c r="D66" s="466"/>
      <c r="E66" s="466"/>
      <c r="F66" s="466"/>
      <c r="G66" s="466"/>
      <c r="H66" s="466"/>
      <c r="I66" s="466"/>
      <c r="J66" s="466"/>
      <c r="K66" s="466"/>
      <c r="L66" s="466"/>
      <c r="M66" s="466"/>
      <c r="N66" s="437"/>
      <c r="O66" s="387"/>
    </row>
    <row r="67" spans="1:16" x14ac:dyDescent="0.3">
      <c r="A67" s="412"/>
      <c r="B67" s="413" t="s">
        <v>33</v>
      </c>
      <c r="C67" s="466"/>
      <c r="D67" s="466"/>
      <c r="E67" s="466"/>
      <c r="F67" s="466"/>
      <c r="G67" s="466"/>
      <c r="H67" s="466"/>
      <c r="I67" s="466"/>
      <c r="J67" s="466"/>
      <c r="K67" s="466"/>
      <c r="L67" s="466"/>
      <c r="M67" s="466"/>
      <c r="N67" s="437"/>
      <c r="O67" s="387"/>
    </row>
    <row r="68" spans="1:16" x14ac:dyDescent="0.3">
      <c r="A68" s="412"/>
      <c r="B68" s="413"/>
      <c r="C68" s="466"/>
      <c r="D68" s="466"/>
      <c r="E68" s="466"/>
      <c r="F68" s="466"/>
      <c r="G68" s="466"/>
      <c r="H68" s="466"/>
      <c r="I68" s="466"/>
      <c r="J68" s="466"/>
      <c r="K68" s="466"/>
      <c r="L68" s="466"/>
      <c r="M68" s="466"/>
      <c r="N68" s="437"/>
      <c r="O68" s="387"/>
    </row>
    <row r="69" spans="1:16" x14ac:dyDescent="0.3">
      <c r="A69" s="412"/>
      <c r="B69" s="413" t="s">
        <v>34</v>
      </c>
      <c r="C69" s="466"/>
      <c r="D69" s="466"/>
      <c r="E69" s="466"/>
      <c r="F69" s="466"/>
      <c r="G69" s="466"/>
      <c r="H69" s="466"/>
      <c r="I69" s="466"/>
      <c r="J69" s="466"/>
      <c r="K69" s="466"/>
      <c r="L69" s="466"/>
      <c r="M69" s="466"/>
      <c r="N69" s="437"/>
      <c r="O69" s="387"/>
    </row>
    <row r="70" spans="1:16" x14ac:dyDescent="0.3">
      <c r="A70" s="412"/>
      <c r="B70" s="413"/>
      <c r="C70" s="466"/>
      <c r="D70" s="466"/>
      <c r="E70" s="466"/>
      <c r="F70" s="466"/>
      <c r="G70" s="466"/>
      <c r="H70" s="466"/>
      <c r="I70" s="466"/>
      <c r="J70" s="466"/>
      <c r="K70" s="466"/>
      <c r="L70" s="466"/>
      <c r="M70" s="466"/>
      <c r="N70" s="437"/>
      <c r="O70" s="387"/>
    </row>
    <row r="71" spans="1:16" x14ac:dyDescent="0.3">
      <c r="A71" s="412"/>
      <c r="B71" s="413" t="s">
        <v>36</v>
      </c>
      <c r="C71" s="466">
        <v>0</v>
      </c>
      <c r="D71" s="466"/>
      <c r="E71" s="466">
        <v>0</v>
      </c>
      <c r="F71" s="466"/>
      <c r="G71" s="466"/>
      <c r="H71" s="466"/>
      <c r="I71" s="466"/>
      <c r="J71" s="466"/>
      <c r="K71" s="466"/>
      <c r="L71" s="466"/>
      <c r="M71" s="466">
        <v>0</v>
      </c>
      <c r="N71" s="437"/>
      <c r="O71" s="387"/>
    </row>
    <row r="72" spans="1:16" x14ac:dyDescent="0.3">
      <c r="A72" s="412"/>
      <c r="B72" s="413" t="s">
        <v>147</v>
      </c>
      <c r="C72" s="466">
        <f>59167</f>
        <v>59167</v>
      </c>
      <c r="D72" s="466"/>
      <c r="E72" s="466">
        <v>0</v>
      </c>
      <c r="F72" s="466"/>
      <c r="G72" s="466"/>
      <c r="H72" s="466"/>
      <c r="I72" s="466"/>
      <c r="J72" s="466"/>
      <c r="K72" s="466"/>
      <c r="L72" s="466"/>
      <c r="M72" s="466">
        <f>+E72+I72</f>
        <v>0</v>
      </c>
      <c r="N72" s="437"/>
      <c r="O72" s="387"/>
    </row>
    <row r="73" spans="1:16" x14ac:dyDescent="0.3">
      <c r="A73" s="412"/>
      <c r="B73" s="413" t="s">
        <v>171</v>
      </c>
      <c r="C73" s="466">
        <v>0</v>
      </c>
      <c r="D73" s="466"/>
      <c r="E73" s="466">
        <v>0</v>
      </c>
      <c r="F73" s="466"/>
      <c r="G73" s="466"/>
      <c r="H73" s="466"/>
      <c r="I73" s="466"/>
      <c r="J73" s="466"/>
      <c r="K73" s="466"/>
      <c r="L73" s="466"/>
      <c r="M73" s="466">
        <v>0</v>
      </c>
      <c r="N73" s="437"/>
      <c r="O73" s="387"/>
      <c r="P73" s="472"/>
    </row>
    <row r="74" spans="1:16" x14ac:dyDescent="0.3">
      <c r="A74" s="412"/>
      <c r="B74" s="413" t="s">
        <v>38</v>
      </c>
      <c r="C74" s="466">
        <v>0</v>
      </c>
      <c r="D74" s="466"/>
      <c r="E74" s="466">
        <v>0</v>
      </c>
      <c r="F74" s="466"/>
      <c r="G74" s="466"/>
      <c r="H74" s="466"/>
      <c r="I74" s="466"/>
      <c r="J74" s="466"/>
      <c r="K74" s="466"/>
      <c r="L74" s="466"/>
      <c r="M74" s="466">
        <v>0</v>
      </c>
      <c r="N74" s="437"/>
      <c r="O74" s="387"/>
      <c r="P74" s="472"/>
    </row>
    <row r="75" spans="1:16" x14ac:dyDescent="0.3">
      <c r="A75" s="412"/>
      <c r="B75" s="413" t="s">
        <v>39</v>
      </c>
      <c r="C75" s="466">
        <f>SUM(C62:C74)</f>
        <v>300000</v>
      </c>
      <c r="D75" s="466"/>
      <c r="E75" s="466">
        <f>SUM(E62:E74)</f>
        <v>34137</v>
      </c>
      <c r="F75" s="466"/>
      <c r="G75" s="466"/>
      <c r="H75" s="466"/>
      <c r="I75" s="466"/>
      <c r="J75" s="466"/>
      <c r="K75" s="466"/>
      <c r="L75" s="466"/>
      <c r="M75" s="466">
        <f>SUM(M62:M74)</f>
        <v>0</v>
      </c>
      <c r="N75" s="437"/>
      <c r="O75" s="387"/>
    </row>
    <row r="76" spans="1:16" x14ac:dyDescent="0.3">
      <c r="A76" s="389"/>
      <c r="B76" s="473"/>
      <c r="C76" s="474"/>
      <c r="D76" s="474"/>
      <c r="E76" s="474"/>
      <c r="F76" s="474"/>
      <c r="G76" s="474"/>
      <c r="H76" s="474"/>
      <c r="I76" s="474"/>
      <c r="J76" s="474"/>
      <c r="K76" s="474"/>
      <c r="L76" s="474"/>
      <c r="M76" s="474"/>
      <c r="N76" s="594"/>
      <c r="O76" s="387"/>
    </row>
    <row r="77" spans="1:16" x14ac:dyDescent="0.3">
      <c r="A77" s="389"/>
      <c r="B77" s="401"/>
      <c r="C77" s="401"/>
      <c r="D77" s="401"/>
      <c r="E77" s="401"/>
      <c r="F77" s="401"/>
      <c r="G77" s="401"/>
      <c r="H77" s="401"/>
      <c r="I77" s="401"/>
      <c r="J77" s="401"/>
      <c r="K77" s="401"/>
      <c r="L77" s="401"/>
      <c r="M77" s="401"/>
      <c r="N77" s="594"/>
      <c r="O77" s="387"/>
    </row>
    <row r="78" spans="1:16" x14ac:dyDescent="0.3">
      <c r="A78" s="389"/>
      <c r="B78" s="408" t="s">
        <v>40</v>
      </c>
      <c r="C78" s="477" t="s">
        <v>120</v>
      </c>
      <c r="D78" s="478">
        <f>+K173</f>
        <v>43404</v>
      </c>
      <c r="E78" s="400"/>
      <c r="F78" s="400"/>
      <c r="G78" s="400"/>
      <c r="H78" s="400"/>
      <c r="I78" s="400"/>
      <c r="J78" s="404"/>
      <c r="K78" s="404" t="s">
        <v>133</v>
      </c>
      <c r="L78" s="404"/>
      <c r="M78" s="404" t="s">
        <v>143</v>
      </c>
      <c r="N78" s="594"/>
      <c r="O78" s="387"/>
    </row>
    <row r="79" spans="1:16" x14ac:dyDescent="0.3">
      <c r="A79" s="479"/>
      <c r="B79" s="413" t="s">
        <v>41</v>
      </c>
      <c r="C79" s="413"/>
      <c r="D79" s="413"/>
      <c r="E79" s="413"/>
      <c r="F79" s="413"/>
      <c r="G79" s="413"/>
      <c r="H79" s="413"/>
      <c r="I79" s="413"/>
      <c r="J79" s="413"/>
      <c r="K79" s="466">
        <f>+'Oct 2008'!K112</f>
        <v>0</v>
      </c>
      <c r="L79" s="413"/>
      <c r="M79" s="467">
        <v>0</v>
      </c>
      <c r="N79" s="437"/>
      <c r="O79" s="387"/>
    </row>
    <row r="80" spans="1:16" x14ac:dyDescent="0.3">
      <c r="A80" s="479"/>
      <c r="B80" s="413" t="s">
        <v>42</v>
      </c>
      <c r="C80" s="441" t="s">
        <v>207</v>
      </c>
      <c r="D80" s="480" t="s">
        <v>207</v>
      </c>
      <c r="E80" s="481"/>
      <c r="F80" s="413"/>
      <c r="G80" s="413"/>
      <c r="H80" s="413"/>
      <c r="I80" s="413"/>
      <c r="J80" s="413"/>
      <c r="K80" s="466">
        <f>34137-34</f>
        <v>34103</v>
      </c>
      <c r="L80" s="413"/>
      <c r="M80" s="467"/>
      <c r="N80" s="437"/>
      <c r="O80" s="387"/>
    </row>
    <row r="81" spans="1:16" x14ac:dyDescent="0.3">
      <c r="A81" s="479"/>
      <c r="B81" s="413" t="s">
        <v>204</v>
      </c>
      <c r="C81" s="441"/>
      <c r="D81" s="480"/>
      <c r="E81" s="481"/>
      <c r="F81" s="413"/>
      <c r="G81" s="413"/>
      <c r="H81" s="413"/>
      <c r="I81" s="413"/>
      <c r="J81" s="413"/>
      <c r="K81" s="466"/>
      <c r="L81" s="413"/>
      <c r="M81" s="467">
        <f>2143+3-1262</f>
        <v>884</v>
      </c>
      <c r="N81" s="437"/>
      <c r="O81" s="387"/>
    </row>
    <row r="82" spans="1:16" x14ac:dyDescent="0.3">
      <c r="A82" s="479"/>
      <c r="B82" s="413" t="s">
        <v>205</v>
      </c>
      <c r="C82" s="441"/>
      <c r="D82" s="480"/>
      <c r="E82" s="481"/>
      <c r="F82" s="413"/>
      <c r="G82" s="413"/>
      <c r="H82" s="413"/>
      <c r="I82" s="413"/>
      <c r="J82" s="413"/>
      <c r="K82" s="466"/>
      <c r="L82" s="413"/>
      <c r="M82" s="467">
        <v>93</v>
      </c>
      <c r="N82" s="437"/>
      <c r="O82" s="387"/>
    </row>
    <row r="83" spans="1:16" x14ac:dyDescent="0.3">
      <c r="A83" s="479"/>
      <c r="B83" s="413" t="s">
        <v>206</v>
      </c>
      <c r="C83" s="441"/>
      <c r="D83" s="480"/>
      <c r="E83" s="481"/>
      <c r="F83" s="413"/>
      <c r="G83" s="413"/>
      <c r="H83" s="413"/>
      <c r="I83" s="413"/>
      <c r="J83" s="413"/>
      <c r="K83" s="466"/>
      <c r="L83" s="413"/>
      <c r="M83" s="467">
        <v>25</v>
      </c>
      <c r="N83" s="437"/>
      <c r="O83" s="387"/>
      <c r="P83" s="472"/>
    </row>
    <row r="84" spans="1:16" x14ac:dyDescent="0.3">
      <c r="A84" s="479"/>
      <c r="B84" s="413" t="s">
        <v>44</v>
      </c>
      <c r="C84" s="413"/>
      <c r="D84" s="413"/>
      <c r="E84" s="413"/>
      <c r="F84" s="413"/>
      <c r="G84" s="413"/>
      <c r="H84" s="413"/>
      <c r="I84" s="413"/>
      <c r="J84" s="413"/>
      <c r="K84" s="466"/>
      <c r="L84" s="413"/>
      <c r="M84" s="467">
        <v>0</v>
      </c>
      <c r="N84" s="437"/>
      <c r="O84" s="387"/>
    </row>
    <row r="85" spans="1:16" x14ac:dyDescent="0.3">
      <c r="A85" s="479"/>
      <c r="B85" s="605" t="s">
        <v>296</v>
      </c>
      <c r="C85" s="413"/>
      <c r="D85" s="413"/>
      <c r="E85" s="413"/>
      <c r="F85" s="413"/>
      <c r="G85" s="413"/>
      <c r="H85" s="413"/>
      <c r="I85" s="413"/>
      <c r="J85" s="413"/>
      <c r="K85" s="466"/>
      <c r="L85" s="413"/>
      <c r="M85" s="467">
        <v>15900</v>
      </c>
      <c r="N85" s="437"/>
      <c r="O85" s="387"/>
    </row>
    <row r="86" spans="1:16" x14ac:dyDescent="0.3">
      <c r="A86" s="479"/>
      <c r="B86" s="413" t="s">
        <v>45</v>
      </c>
      <c r="C86" s="413"/>
      <c r="D86" s="413"/>
      <c r="E86" s="413"/>
      <c r="F86" s="413"/>
      <c r="G86" s="413"/>
      <c r="H86" s="413"/>
      <c r="I86" s="413"/>
      <c r="J86" s="413"/>
      <c r="K86" s="466">
        <f>SUM(K79:K84)</f>
        <v>34103</v>
      </c>
      <c r="L86" s="413"/>
      <c r="M86" s="466">
        <f>SUM(M79:M85)</f>
        <v>16902</v>
      </c>
      <c r="N86" s="437"/>
      <c r="O86" s="387"/>
    </row>
    <row r="87" spans="1:16" x14ac:dyDescent="0.3">
      <c r="A87" s="479"/>
      <c r="B87" s="413" t="s">
        <v>46</v>
      </c>
      <c r="C87" s="413"/>
      <c r="D87" s="413"/>
      <c r="E87" s="413"/>
      <c r="F87" s="413"/>
      <c r="G87" s="413"/>
      <c r="H87" s="413"/>
      <c r="I87" s="413"/>
      <c r="J87" s="413"/>
      <c r="K87" s="466">
        <f>-M87</f>
        <v>0</v>
      </c>
      <c r="L87" s="413"/>
      <c r="M87" s="467">
        <v>0</v>
      </c>
      <c r="N87" s="437"/>
      <c r="O87" s="387"/>
    </row>
    <row r="88" spans="1:16" x14ac:dyDescent="0.3">
      <c r="A88" s="479"/>
      <c r="B88" s="413" t="s">
        <v>47</v>
      </c>
      <c r="C88" s="413"/>
      <c r="D88" s="413"/>
      <c r="E88" s="413"/>
      <c r="F88" s="413"/>
      <c r="G88" s="413"/>
      <c r="H88" s="413"/>
      <c r="I88" s="413"/>
      <c r="J88" s="413"/>
      <c r="K88" s="466">
        <f>K86+K87</f>
        <v>34103</v>
      </c>
      <c r="L88" s="413"/>
      <c r="M88" s="466">
        <f>M86+M87</f>
        <v>16902</v>
      </c>
      <c r="N88" s="437"/>
      <c r="O88" s="387"/>
      <c r="P88" s="482"/>
    </row>
    <row r="89" spans="1:16" x14ac:dyDescent="0.3">
      <c r="A89" s="479"/>
      <c r="B89" s="483" t="s">
        <v>48</v>
      </c>
      <c r="C89" s="483"/>
      <c r="D89" s="483"/>
      <c r="E89" s="413"/>
      <c r="F89" s="413"/>
      <c r="G89" s="413"/>
      <c r="H89" s="413"/>
      <c r="I89" s="413"/>
      <c r="J89" s="413"/>
      <c r="K89" s="466"/>
      <c r="L89" s="413"/>
      <c r="M89" s="467"/>
      <c r="N89" s="417"/>
      <c r="O89" s="387"/>
    </row>
    <row r="90" spans="1:16" x14ac:dyDescent="0.3">
      <c r="A90" s="479">
        <v>1</v>
      </c>
      <c r="B90" s="413" t="s">
        <v>49</v>
      </c>
      <c r="C90" s="413"/>
      <c r="D90" s="413"/>
      <c r="E90" s="413"/>
      <c r="F90" s="413"/>
      <c r="G90" s="413"/>
      <c r="H90" s="413"/>
      <c r="I90" s="413"/>
      <c r="J90" s="413"/>
      <c r="K90" s="413"/>
      <c r="L90" s="413"/>
      <c r="M90" s="467">
        <v>0</v>
      </c>
      <c r="N90" s="417"/>
      <c r="O90" s="387"/>
      <c r="P90" s="472"/>
    </row>
    <row r="91" spans="1:16" x14ac:dyDescent="0.3">
      <c r="A91" s="479">
        <v>2</v>
      </c>
      <c r="B91" s="413" t="s">
        <v>50</v>
      </c>
      <c r="C91" s="413"/>
      <c r="D91" s="413"/>
      <c r="E91" s="413"/>
      <c r="F91" s="413"/>
      <c r="G91" s="413"/>
      <c r="H91" s="413"/>
      <c r="I91" s="413"/>
      <c r="J91" s="413"/>
      <c r="K91" s="413"/>
      <c r="L91" s="413"/>
      <c r="M91" s="467">
        <v>-2</v>
      </c>
      <c r="N91" s="417"/>
      <c r="O91" s="387"/>
      <c r="P91" s="482"/>
    </row>
    <row r="92" spans="1:16" x14ac:dyDescent="0.3">
      <c r="A92" s="479">
        <v>3</v>
      </c>
      <c r="B92" s="413" t="s">
        <v>194</v>
      </c>
      <c r="C92" s="413"/>
      <c r="D92" s="413"/>
      <c r="E92" s="413"/>
      <c r="F92" s="413"/>
      <c r="G92" s="413"/>
      <c r="H92" s="413"/>
      <c r="I92" s="413"/>
      <c r="J92" s="413"/>
      <c r="K92" s="413"/>
      <c r="L92" s="413"/>
      <c r="M92" s="467">
        <f>-13-11-1</f>
        <v>-25</v>
      </c>
      <c r="N92" s="417"/>
      <c r="O92" s="387"/>
    </row>
    <row r="93" spans="1:16" x14ac:dyDescent="0.3">
      <c r="A93" s="484" t="s">
        <v>184</v>
      </c>
      <c r="B93" s="413" t="s">
        <v>146</v>
      </c>
      <c r="C93" s="413"/>
      <c r="D93" s="413"/>
      <c r="E93" s="413"/>
      <c r="F93" s="413"/>
      <c r="G93" s="413"/>
      <c r="H93" s="413"/>
      <c r="I93" s="413"/>
      <c r="J93" s="413"/>
      <c r="K93" s="413"/>
      <c r="L93" s="413"/>
      <c r="M93" s="467">
        <v>0</v>
      </c>
      <c r="N93" s="417"/>
      <c r="O93" s="387"/>
    </row>
    <row r="94" spans="1:16" x14ac:dyDescent="0.3">
      <c r="A94" s="484" t="s">
        <v>192</v>
      </c>
      <c r="B94" s="413" t="s">
        <v>51</v>
      </c>
      <c r="C94" s="413"/>
      <c r="D94" s="413"/>
      <c r="E94" s="413"/>
      <c r="F94" s="413"/>
      <c r="G94" s="413"/>
      <c r="H94" s="413"/>
      <c r="I94" s="413"/>
      <c r="J94" s="413"/>
      <c r="K94" s="413"/>
      <c r="L94" s="413"/>
      <c r="M94" s="467">
        <v>-56</v>
      </c>
      <c r="N94" s="417"/>
      <c r="O94" s="387"/>
    </row>
    <row r="95" spans="1:16" x14ac:dyDescent="0.3">
      <c r="A95" s="479">
        <v>5</v>
      </c>
      <c r="B95" s="413" t="s">
        <v>52</v>
      </c>
      <c r="C95" s="413"/>
      <c r="D95" s="413"/>
      <c r="E95" s="413"/>
      <c r="F95" s="413"/>
      <c r="G95" s="413"/>
      <c r="H95" s="413"/>
      <c r="I95" s="413"/>
      <c r="J95" s="413"/>
      <c r="K95" s="413"/>
      <c r="L95" s="413"/>
      <c r="M95" s="467">
        <v>-56</v>
      </c>
      <c r="N95" s="417"/>
      <c r="O95" s="387"/>
    </row>
    <row r="96" spans="1:16" x14ac:dyDescent="0.3">
      <c r="A96" s="479">
        <v>6</v>
      </c>
      <c r="B96" s="413" t="s">
        <v>172</v>
      </c>
      <c r="C96" s="413"/>
      <c r="D96" s="413"/>
      <c r="E96" s="413"/>
      <c r="F96" s="413"/>
      <c r="G96" s="413"/>
      <c r="H96" s="413"/>
      <c r="I96" s="413"/>
      <c r="J96" s="413"/>
      <c r="K96" s="413"/>
      <c r="L96" s="413"/>
      <c r="M96" s="467">
        <v>-43</v>
      </c>
      <c r="N96" s="417"/>
      <c r="O96" s="387"/>
    </row>
    <row r="97" spans="1:16" x14ac:dyDescent="0.3">
      <c r="A97" s="479">
        <v>7</v>
      </c>
      <c r="B97" s="413" t="s">
        <v>53</v>
      </c>
      <c r="C97" s="413"/>
      <c r="D97" s="413"/>
      <c r="E97" s="413"/>
      <c r="F97" s="413"/>
      <c r="G97" s="413"/>
      <c r="H97" s="413"/>
      <c r="I97" s="413"/>
      <c r="J97" s="413"/>
      <c r="K97" s="413"/>
      <c r="L97" s="413"/>
      <c r="M97" s="467">
        <v>-7</v>
      </c>
      <c r="N97" s="417"/>
      <c r="O97" s="387"/>
    </row>
    <row r="98" spans="1:16" x14ac:dyDescent="0.3">
      <c r="A98" s="479">
        <v>8</v>
      </c>
      <c r="B98" s="413" t="s">
        <v>69</v>
      </c>
      <c r="C98" s="413"/>
      <c r="D98" s="413"/>
      <c r="E98" s="413"/>
      <c r="F98" s="413"/>
      <c r="G98" s="413"/>
      <c r="H98" s="413"/>
      <c r="I98" s="413"/>
      <c r="J98" s="413"/>
      <c r="K98" s="466">
        <f>-M98</f>
        <v>34</v>
      </c>
      <c r="L98" s="413"/>
      <c r="M98" s="467">
        <v>-34</v>
      </c>
      <c r="N98" s="417"/>
      <c r="O98" s="387"/>
    </row>
    <row r="99" spans="1:16" x14ac:dyDescent="0.3">
      <c r="A99" s="479">
        <v>9</v>
      </c>
      <c r="B99" s="413" t="s">
        <v>193</v>
      </c>
      <c r="C99" s="413"/>
      <c r="D99" s="413"/>
      <c r="E99" s="413"/>
      <c r="F99" s="413"/>
      <c r="G99" s="413"/>
      <c r="H99" s="413"/>
      <c r="I99" s="413"/>
      <c r="J99" s="413"/>
      <c r="K99" s="413"/>
      <c r="L99" s="413"/>
      <c r="M99" s="467">
        <v>0</v>
      </c>
      <c r="N99" s="417"/>
      <c r="O99" s="387"/>
    </row>
    <row r="100" spans="1:16" x14ac:dyDescent="0.3">
      <c r="A100" s="479">
        <v>10</v>
      </c>
      <c r="B100" s="413" t="s">
        <v>54</v>
      </c>
      <c r="C100" s="413"/>
      <c r="D100" s="413"/>
      <c r="E100" s="413"/>
      <c r="F100" s="413"/>
      <c r="G100" s="413"/>
      <c r="H100" s="413"/>
      <c r="I100" s="413"/>
      <c r="J100" s="413"/>
      <c r="K100" s="413"/>
      <c r="L100" s="413"/>
      <c r="M100" s="467">
        <v>0</v>
      </c>
      <c r="N100" s="417"/>
      <c r="O100" s="387"/>
    </row>
    <row r="101" spans="1:16" x14ac:dyDescent="0.3">
      <c r="A101" s="479">
        <v>11</v>
      </c>
      <c r="B101" s="413" t="s">
        <v>55</v>
      </c>
      <c r="C101" s="413"/>
      <c r="D101" s="413"/>
      <c r="E101" s="413"/>
      <c r="F101" s="413"/>
      <c r="G101" s="413"/>
      <c r="H101" s="413"/>
      <c r="I101" s="413"/>
      <c r="J101" s="413"/>
      <c r="K101" s="413"/>
      <c r="L101" s="413"/>
      <c r="M101" s="467">
        <v>0</v>
      </c>
      <c r="N101" s="417"/>
      <c r="O101" s="387"/>
    </row>
    <row r="102" spans="1:16" x14ac:dyDescent="0.3">
      <c r="A102" s="479">
        <v>12</v>
      </c>
      <c r="B102" s="413" t="s">
        <v>173</v>
      </c>
      <c r="C102" s="413"/>
      <c r="D102" s="413"/>
      <c r="E102" s="413"/>
      <c r="F102" s="413"/>
      <c r="G102" s="413"/>
      <c r="H102" s="413"/>
      <c r="I102" s="413"/>
      <c r="J102" s="413"/>
      <c r="K102" s="413"/>
      <c r="L102" s="413"/>
      <c r="M102" s="467">
        <v>-13</v>
      </c>
      <c r="N102" s="417"/>
      <c r="O102" s="387"/>
    </row>
    <row r="103" spans="1:16" x14ac:dyDescent="0.3">
      <c r="A103" s="479">
        <v>13</v>
      </c>
      <c r="B103" s="413" t="s">
        <v>195</v>
      </c>
      <c r="C103" s="413"/>
      <c r="D103" s="413"/>
      <c r="E103" s="413"/>
      <c r="F103" s="413"/>
      <c r="G103" s="413"/>
      <c r="H103" s="413"/>
      <c r="I103" s="413"/>
      <c r="J103" s="413"/>
      <c r="K103" s="413"/>
      <c r="L103" s="413"/>
      <c r="M103" s="467">
        <f>-M88-SUM(M90:M102)</f>
        <v>-16666</v>
      </c>
      <c r="N103" s="417"/>
      <c r="O103" s="387"/>
    </row>
    <row r="104" spans="1:16" x14ac:dyDescent="0.3">
      <c r="A104" s="412"/>
      <c r="B104" s="485" t="s">
        <v>56</v>
      </c>
      <c r="C104" s="486"/>
      <c r="D104" s="486"/>
      <c r="E104" s="416"/>
      <c r="F104" s="416"/>
      <c r="G104" s="416"/>
      <c r="H104" s="416"/>
      <c r="I104" s="416"/>
      <c r="J104" s="416"/>
      <c r="K104" s="416"/>
      <c r="L104" s="416"/>
      <c r="M104" s="487"/>
      <c r="N104" s="417"/>
      <c r="O104" s="387"/>
    </row>
    <row r="105" spans="1:16" x14ac:dyDescent="0.3">
      <c r="A105" s="412"/>
      <c r="B105" s="413" t="s">
        <v>57</v>
      </c>
      <c r="C105" s="483"/>
      <c r="D105" s="483"/>
      <c r="E105" s="413"/>
      <c r="F105" s="413"/>
      <c r="G105" s="413"/>
      <c r="H105" s="413"/>
      <c r="I105" s="413"/>
      <c r="J105" s="413"/>
      <c r="K105" s="466">
        <f>-K157</f>
        <v>0</v>
      </c>
      <c r="L105" s="466"/>
      <c r="M105" s="467"/>
      <c r="N105" s="417"/>
      <c r="O105" s="387"/>
    </row>
    <row r="106" spans="1:16" x14ac:dyDescent="0.3">
      <c r="A106" s="412"/>
      <c r="B106" s="413" t="s">
        <v>58</v>
      </c>
      <c r="C106" s="413"/>
      <c r="D106" s="413"/>
      <c r="E106" s="413"/>
      <c r="F106" s="413"/>
      <c r="G106" s="413"/>
      <c r="H106" s="413"/>
      <c r="I106" s="413"/>
      <c r="J106" s="413"/>
      <c r="K106" s="466">
        <f>-I157</f>
        <v>0</v>
      </c>
      <c r="L106" s="466"/>
      <c r="M106" s="467"/>
      <c r="N106" s="417"/>
      <c r="O106" s="387"/>
      <c r="P106" s="472"/>
    </row>
    <row r="107" spans="1:16" x14ac:dyDescent="0.3">
      <c r="A107" s="412"/>
      <c r="B107" s="413" t="s">
        <v>187</v>
      </c>
      <c r="C107" s="413"/>
      <c r="D107" s="413"/>
      <c r="E107" s="413"/>
      <c r="F107" s="413"/>
      <c r="G107" s="413"/>
      <c r="H107" s="413"/>
      <c r="I107" s="413"/>
      <c r="J107" s="413"/>
      <c r="K107" s="466">
        <v>0</v>
      </c>
      <c r="L107" s="466"/>
      <c r="M107" s="467"/>
      <c r="N107" s="417"/>
      <c r="O107" s="387"/>
    </row>
    <row r="108" spans="1:16" x14ac:dyDescent="0.3">
      <c r="A108" s="412"/>
      <c r="B108" s="413" t="s">
        <v>185</v>
      </c>
      <c r="C108" s="413"/>
      <c r="D108" s="413"/>
      <c r="E108" s="413"/>
      <c r="F108" s="413"/>
      <c r="G108" s="413"/>
      <c r="H108" s="413"/>
      <c r="I108" s="413"/>
      <c r="J108" s="413"/>
      <c r="K108" s="466">
        <v>-18400</v>
      </c>
      <c r="L108" s="466"/>
      <c r="M108" s="467"/>
      <c r="N108" s="417"/>
      <c r="O108" s="387"/>
    </row>
    <row r="109" spans="1:16" x14ac:dyDescent="0.3">
      <c r="A109" s="412"/>
      <c r="B109" s="413" t="s">
        <v>59</v>
      </c>
      <c r="C109" s="413"/>
      <c r="D109" s="413"/>
      <c r="E109" s="413"/>
      <c r="F109" s="413"/>
      <c r="G109" s="413"/>
      <c r="H109" s="413"/>
      <c r="I109" s="413"/>
      <c r="J109" s="413"/>
      <c r="K109" s="466">
        <v>-9579</v>
      </c>
      <c r="L109" s="466"/>
      <c r="M109" s="467"/>
      <c r="N109" s="417"/>
      <c r="O109" s="387"/>
    </row>
    <row r="110" spans="1:16" x14ac:dyDescent="0.3">
      <c r="A110" s="412"/>
      <c r="B110" s="413" t="s">
        <v>186</v>
      </c>
      <c r="C110" s="413"/>
      <c r="D110" s="413"/>
      <c r="E110" s="413"/>
      <c r="F110" s="413"/>
      <c r="G110" s="413"/>
      <c r="H110" s="413"/>
      <c r="I110" s="413"/>
      <c r="J110" s="413"/>
      <c r="K110" s="466">
        <v>-6158</v>
      </c>
      <c r="L110" s="466"/>
      <c r="M110" s="467"/>
      <c r="N110" s="417"/>
      <c r="O110" s="387"/>
    </row>
    <row r="111" spans="1:16" x14ac:dyDescent="0.3">
      <c r="A111" s="412"/>
      <c r="B111" s="413" t="s">
        <v>60</v>
      </c>
      <c r="C111" s="413"/>
      <c r="D111" s="413"/>
      <c r="E111" s="413"/>
      <c r="F111" s="413"/>
      <c r="G111" s="413"/>
      <c r="H111" s="413"/>
      <c r="I111" s="413"/>
      <c r="J111" s="413"/>
      <c r="K111" s="466">
        <f>+K106+K107+K108+K109+K110</f>
        <v>-34137</v>
      </c>
      <c r="L111" s="466"/>
      <c r="M111" s="466">
        <f>SUM(M89:M110)</f>
        <v>-16902</v>
      </c>
      <c r="N111" s="417"/>
      <c r="O111" s="387"/>
    </row>
    <row r="112" spans="1:16" x14ac:dyDescent="0.3">
      <c r="A112" s="412"/>
      <c r="B112" s="413" t="s">
        <v>61</v>
      </c>
      <c r="C112" s="413"/>
      <c r="D112" s="413"/>
      <c r="E112" s="413"/>
      <c r="F112" s="413"/>
      <c r="G112" s="413"/>
      <c r="H112" s="413"/>
      <c r="I112" s="413"/>
      <c r="J112" s="413"/>
      <c r="K112" s="466">
        <f>K88+K111+K98</f>
        <v>0</v>
      </c>
      <c r="L112" s="466"/>
      <c r="M112" s="466">
        <f>M88+M111</f>
        <v>0</v>
      </c>
      <c r="N112" s="417"/>
      <c r="O112" s="387"/>
    </row>
    <row r="113" spans="1:15" x14ac:dyDescent="0.3">
      <c r="A113" s="389"/>
      <c r="B113" s="475"/>
      <c r="C113" s="475"/>
      <c r="D113" s="475"/>
      <c r="E113" s="475"/>
      <c r="F113" s="475"/>
      <c r="G113" s="475"/>
      <c r="H113" s="475"/>
      <c r="I113" s="475"/>
      <c r="J113" s="475"/>
      <c r="K113" s="488"/>
      <c r="L113" s="488"/>
      <c r="M113" s="488"/>
      <c r="N113" s="591"/>
      <c r="O113" s="387"/>
    </row>
    <row r="114" spans="1:15" x14ac:dyDescent="0.3">
      <c r="A114" s="389"/>
      <c r="B114" s="476"/>
      <c r="C114" s="476"/>
      <c r="D114" s="476"/>
      <c r="E114" s="476"/>
      <c r="F114" s="476"/>
      <c r="G114" s="476"/>
      <c r="H114" s="476"/>
      <c r="I114" s="476"/>
      <c r="J114" s="476"/>
      <c r="K114" s="476"/>
      <c r="L114" s="476"/>
      <c r="M114" s="489"/>
      <c r="N114" s="591"/>
      <c r="O114" s="387"/>
    </row>
    <row r="115" spans="1:15" ht="18.600000000000001" thickBot="1" x14ac:dyDescent="0.4">
      <c r="A115" s="453"/>
      <c r="B115" s="454" t="str">
        <f>B54</f>
        <v>PSF1 INVESTOR REPORT QUARTER ENDING OCTOBER 2018</v>
      </c>
      <c r="C115" s="490"/>
      <c r="D115" s="490"/>
      <c r="E115" s="490"/>
      <c r="F115" s="490"/>
      <c r="G115" s="490"/>
      <c r="H115" s="490"/>
      <c r="I115" s="490"/>
      <c r="J115" s="490"/>
      <c r="K115" s="490"/>
      <c r="L115" s="490"/>
      <c r="M115" s="491"/>
      <c r="N115" s="457"/>
      <c r="O115" s="387"/>
    </row>
    <row r="116" spans="1:15" x14ac:dyDescent="0.3">
      <c r="A116" s="492"/>
      <c r="B116" s="493" t="s">
        <v>62</v>
      </c>
      <c r="C116" s="494"/>
      <c r="D116" s="494"/>
      <c r="E116" s="495"/>
      <c r="F116" s="495"/>
      <c r="G116" s="495"/>
      <c r="H116" s="495"/>
      <c r="I116" s="495"/>
      <c r="J116" s="495"/>
      <c r="K116" s="495"/>
      <c r="L116" s="495"/>
      <c r="M116" s="496"/>
      <c r="N116" s="595"/>
      <c r="O116" s="387"/>
    </row>
    <row r="117" spans="1:15" x14ac:dyDescent="0.3">
      <c r="A117" s="389"/>
      <c r="B117" s="497"/>
      <c r="C117" s="399"/>
      <c r="D117" s="399"/>
      <c r="E117" s="391"/>
      <c r="F117" s="391"/>
      <c r="G117" s="391"/>
      <c r="H117" s="391"/>
      <c r="I117" s="391"/>
      <c r="J117" s="391"/>
      <c r="K117" s="391"/>
      <c r="L117" s="391"/>
      <c r="M117" s="461"/>
      <c r="N117" s="591"/>
      <c r="O117" s="387"/>
    </row>
    <row r="118" spans="1:15" x14ac:dyDescent="0.3">
      <c r="A118" s="389"/>
      <c r="B118" s="498" t="s">
        <v>63</v>
      </c>
      <c r="C118" s="399"/>
      <c r="D118" s="399"/>
      <c r="E118" s="391"/>
      <c r="F118" s="391"/>
      <c r="G118" s="391"/>
      <c r="H118" s="391"/>
      <c r="I118" s="391"/>
      <c r="J118" s="391"/>
      <c r="K118" s="391"/>
      <c r="L118" s="391"/>
      <c r="M118" s="461"/>
      <c r="N118" s="591"/>
      <c r="O118" s="387"/>
    </row>
    <row r="119" spans="1:15" x14ac:dyDescent="0.3">
      <c r="A119" s="412"/>
      <c r="B119" s="413" t="s">
        <v>64</v>
      </c>
      <c r="C119" s="413"/>
      <c r="D119" s="413"/>
      <c r="E119" s="413"/>
      <c r="F119" s="413"/>
      <c r="G119" s="413"/>
      <c r="H119" s="413"/>
      <c r="I119" s="413"/>
      <c r="J119" s="413"/>
      <c r="K119" s="413"/>
      <c r="L119" s="413"/>
      <c r="M119" s="467">
        <f>+M30*0.045</f>
        <v>13500</v>
      </c>
      <c r="N119" s="437"/>
      <c r="O119" s="387"/>
    </row>
    <row r="120" spans="1:15" x14ac:dyDescent="0.3">
      <c r="A120" s="412"/>
      <c r="B120" s="413" t="s">
        <v>65</v>
      </c>
      <c r="C120" s="413"/>
      <c r="D120" s="413"/>
      <c r="E120" s="413"/>
      <c r="F120" s="413"/>
      <c r="G120" s="413"/>
      <c r="H120" s="413"/>
      <c r="I120" s="413"/>
      <c r="J120" s="413"/>
      <c r="K120" s="413"/>
      <c r="L120" s="413"/>
      <c r="M120" s="467">
        <v>15900</v>
      </c>
      <c r="N120" s="437"/>
      <c r="O120" s="387"/>
    </row>
    <row r="121" spans="1:15" x14ac:dyDescent="0.3">
      <c r="A121" s="412"/>
      <c r="B121" s="413" t="s">
        <v>66</v>
      </c>
      <c r="C121" s="413"/>
      <c r="D121" s="413"/>
      <c r="E121" s="413"/>
      <c r="F121" s="413"/>
      <c r="G121" s="413"/>
      <c r="H121" s="413"/>
      <c r="I121" s="413"/>
      <c r="J121" s="413"/>
      <c r="K121" s="413"/>
      <c r="L121" s="413"/>
      <c r="M121" s="467">
        <v>0</v>
      </c>
      <c r="N121" s="437"/>
      <c r="O121" s="387"/>
    </row>
    <row r="122" spans="1:15" x14ac:dyDescent="0.3">
      <c r="A122" s="412"/>
      <c r="B122" s="605" t="s">
        <v>297</v>
      </c>
      <c r="C122" s="413"/>
      <c r="D122" s="413"/>
      <c r="E122" s="413"/>
      <c r="F122" s="413"/>
      <c r="G122" s="413"/>
      <c r="H122" s="413"/>
      <c r="I122" s="413"/>
      <c r="J122" s="413"/>
      <c r="K122" s="413"/>
      <c r="L122" s="413"/>
      <c r="M122" s="467">
        <v>-15900</v>
      </c>
      <c r="N122" s="437"/>
      <c r="O122" s="387"/>
    </row>
    <row r="123" spans="1:15" x14ac:dyDescent="0.3">
      <c r="A123" s="412"/>
      <c r="B123" s="413" t="s">
        <v>67</v>
      </c>
      <c r="C123" s="413"/>
      <c r="D123" s="413"/>
      <c r="E123" s="413"/>
      <c r="F123" s="413"/>
      <c r="G123" s="413"/>
      <c r="H123" s="413"/>
      <c r="I123" s="413"/>
      <c r="J123" s="413"/>
      <c r="K123" s="413"/>
      <c r="L123" s="413"/>
      <c r="M123" s="467">
        <v>0</v>
      </c>
      <c r="N123" s="437"/>
      <c r="O123" s="387"/>
    </row>
    <row r="124" spans="1:15" x14ac:dyDescent="0.3">
      <c r="A124" s="412"/>
      <c r="B124" s="413" t="s">
        <v>68</v>
      </c>
      <c r="C124" s="413"/>
      <c r="D124" s="413"/>
      <c r="E124" s="413"/>
      <c r="F124" s="413"/>
      <c r="G124" s="413"/>
      <c r="H124" s="413"/>
      <c r="I124" s="413"/>
      <c r="J124" s="413"/>
      <c r="K124" s="413"/>
      <c r="L124" s="413"/>
      <c r="M124" s="467">
        <v>0</v>
      </c>
      <c r="N124" s="437"/>
      <c r="O124" s="387"/>
    </row>
    <row r="125" spans="1:15" x14ac:dyDescent="0.3">
      <c r="A125" s="412"/>
      <c r="B125" s="413" t="s">
        <v>51</v>
      </c>
      <c r="C125" s="413"/>
      <c r="D125" s="413"/>
      <c r="E125" s="413"/>
      <c r="F125" s="413"/>
      <c r="G125" s="413"/>
      <c r="H125" s="413"/>
      <c r="I125" s="413"/>
      <c r="J125" s="413"/>
      <c r="K125" s="413"/>
      <c r="L125" s="413"/>
      <c r="M125" s="467">
        <v>0</v>
      </c>
      <c r="N125" s="437"/>
      <c r="O125" s="387"/>
    </row>
    <row r="126" spans="1:15" x14ac:dyDescent="0.3">
      <c r="A126" s="412"/>
      <c r="B126" s="413" t="s">
        <v>52</v>
      </c>
      <c r="C126" s="413"/>
      <c r="D126" s="413"/>
      <c r="E126" s="413"/>
      <c r="F126" s="413"/>
      <c r="G126" s="413"/>
      <c r="H126" s="413"/>
      <c r="I126" s="413"/>
      <c r="J126" s="413"/>
      <c r="K126" s="413"/>
      <c r="L126" s="413"/>
      <c r="M126" s="467">
        <v>0</v>
      </c>
      <c r="N126" s="437"/>
      <c r="O126" s="387"/>
    </row>
    <row r="127" spans="1:15" x14ac:dyDescent="0.3">
      <c r="A127" s="412"/>
      <c r="B127" s="413" t="s">
        <v>172</v>
      </c>
      <c r="C127" s="413"/>
      <c r="D127" s="413"/>
      <c r="E127" s="413"/>
      <c r="F127" s="413"/>
      <c r="G127" s="413"/>
      <c r="H127" s="413"/>
      <c r="I127" s="413"/>
      <c r="J127" s="413"/>
      <c r="K127" s="413"/>
      <c r="L127" s="413"/>
      <c r="M127" s="467">
        <v>0</v>
      </c>
      <c r="N127" s="437"/>
      <c r="O127" s="387"/>
    </row>
    <row r="128" spans="1:15" x14ac:dyDescent="0.3">
      <c r="A128" s="412"/>
      <c r="B128" s="413" t="s">
        <v>69</v>
      </c>
      <c r="C128" s="413"/>
      <c r="D128" s="413"/>
      <c r="E128" s="413"/>
      <c r="F128" s="413"/>
      <c r="G128" s="413"/>
      <c r="H128" s="413"/>
      <c r="I128" s="413"/>
      <c r="J128" s="413"/>
      <c r="K128" s="413"/>
      <c r="L128" s="413"/>
      <c r="M128" s="467">
        <v>0</v>
      </c>
      <c r="N128" s="437"/>
      <c r="O128" s="387"/>
    </row>
    <row r="129" spans="1:15" x14ac:dyDescent="0.3">
      <c r="A129" s="412"/>
      <c r="B129" s="413" t="s">
        <v>193</v>
      </c>
      <c r="C129" s="413"/>
      <c r="D129" s="413"/>
      <c r="E129" s="413"/>
      <c r="F129" s="413"/>
      <c r="G129" s="413"/>
      <c r="H129" s="413"/>
      <c r="I129" s="413"/>
      <c r="J129" s="413"/>
      <c r="K129" s="413"/>
      <c r="L129" s="413"/>
      <c r="M129" s="467">
        <f>-M99</f>
        <v>0</v>
      </c>
      <c r="N129" s="437"/>
      <c r="O129" s="387"/>
    </row>
    <row r="130" spans="1:15" x14ac:dyDescent="0.3">
      <c r="A130" s="412"/>
      <c r="B130" s="413" t="s">
        <v>258</v>
      </c>
      <c r="C130" s="413"/>
      <c r="D130" s="413"/>
      <c r="E130" s="413"/>
      <c r="F130" s="413"/>
      <c r="G130" s="413"/>
      <c r="H130" s="413"/>
      <c r="I130" s="413"/>
      <c r="J130" s="413"/>
      <c r="K130" s="413"/>
      <c r="L130" s="413"/>
      <c r="M130" s="467">
        <v>0</v>
      </c>
      <c r="N130" s="437"/>
      <c r="O130" s="387"/>
    </row>
    <row r="131" spans="1:15" x14ac:dyDescent="0.3">
      <c r="A131" s="412"/>
      <c r="B131" s="413" t="s">
        <v>70</v>
      </c>
      <c r="C131" s="413"/>
      <c r="D131" s="413"/>
      <c r="E131" s="413"/>
      <c r="F131" s="413"/>
      <c r="G131" s="413"/>
      <c r="H131" s="413"/>
      <c r="I131" s="413"/>
      <c r="J131" s="413"/>
      <c r="K131" s="413"/>
      <c r="L131" s="413"/>
      <c r="M131" s="467">
        <f>SUM(M120:M130)</f>
        <v>0</v>
      </c>
      <c r="N131" s="437"/>
      <c r="O131" s="387"/>
    </row>
    <row r="132" spans="1:15" x14ac:dyDescent="0.3">
      <c r="A132" s="389"/>
      <c r="B132" s="448"/>
      <c r="C132" s="448"/>
      <c r="D132" s="448"/>
      <c r="E132" s="448"/>
      <c r="F132" s="448"/>
      <c r="G132" s="448"/>
      <c r="H132" s="448"/>
      <c r="I132" s="448"/>
      <c r="J132" s="448"/>
      <c r="K132" s="448"/>
      <c r="L132" s="448"/>
      <c r="M132" s="499"/>
      <c r="N132" s="591"/>
      <c r="O132" s="387"/>
    </row>
    <row r="133" spans="1:15" x14ac:dyDescent="0.3">
      <c r="A133" s="389"/>
      <c r="B133" s="498" t="s">
        <v>37</v>
      </c>
      <c r="C133" s="391"/>
      <c r="D133" s="391"/>
      <c r="E133" s="391"/>
      <c r="F133" s="391"/>
      <c r="G133" s="391"/>
      <c r="H133" s="391"/>
      <c r="I133" s="391"/>
      <c r="J133" s="391"/>
      <c r="K133" s="391"/>
      <c r="L133" s="391"/>
      <c r="M133" s="461"/>
      <c r="N133" s="591"/>
      <c r="O133" s="387"/>
    </row>
    <row r="134" spans="1:15" x14ac:dyDescent="0.3">
      <c r="A134" s="412"/>
      <c r="B134" s="413" t="s">
        <v>71</v>
      </c>
      <c r="C134" s="413"/>
      <c r="D134" s="413"/>
      <c r="E134" s="500"/>
      <c r="F134" s="413"/>
      <c r="G134" s="413"/>
      <c r="H134" s="413"/>
      <c r="I134" s="413"/>
      <c r="J134" s="413"/>
      <c r="K134" s="413"/>
      <c r="L134" s="413"/>
      <c r="M134" s="501" t="s">
        <v>136</v>
      </c>
      <c r="N134" s="437"/>
      <c r="O134" s="387"/>
    </row>
    <row r="135" spans="1:15" x14ac:dyDescent="0.3">
      <c r="A135" s="412"/>
      <c r="B135" s="413" t="s">
        <v>72</v>
      </c>
      <c r="C135" s="413"/>
      <c r="D135" s="413"/>
      <c r="E135" s="413"/>
      <c r="F135" s="413"/>
      <c r="G135" s="413"/>
      <c r="H135" s="413"/>
      <c r="I135" s="413"/>
      <c r="J135" s="413"/>
      <c r="K135" s="413"/>
      <c r="L135" s="413"/>
      <c r="M135" s="501" t="s">
        <v>136</v>
      </c>
      <c r="N135" s="437"/>
      <c r="O135" s="387"/>
    </row>
    <row r="136" spans="1:15" x14ac:dyDescent="0.3">
      <c r="A136" s="412"/>
      <c r="B136" s="413" t="s">
        <v>73</v>
      </c>
      <c r="C136" s="413"/>
      <c r="D136" s="413"/>
      <c r="E136" s="413"/>
      <c r="F136" s="413"/>
      <c r="G136" s="413"/>
      <c r="H136" s="413"/>
      <c r="I136" s="413"/>
      <c r="J136" s="413"/>
      <c r="K136" s="413"/>
      <c r="L136" s="413"/>
      <c r="M136" s="501" t="s">
        <v>136</v>
      </c>
      <c r="N136" s="437"/>
      <c r="O136" s="387"/>
    </row>
    <row r="137" spans="1:15" x14ac:dyDescent="0.3">
      <c r="A137" s="412"/>
      <c r="B137" s="413" t="s">
        <v>74</v>
      </c>
      <c r="C137" s="413"/>
      <c r="D137" s="413"/>
      <c r="E137" s="413"/>
      <c r="F137" s="413"/>
      <c r="G137" s="413"/>
      <c r="H137" s="413"/>
      <c r="I137" s="413"/>
      <c r="J137" s="413"/>
      <c r="K137" s="413"/>
      <c r="L137" s="413"/>
      <c r="M137" s="501" t="s">
        <v>136</v>
      </c>
      <c r="N137" s="437"/>
      <c r="O137" s="387"/>
    </row>
    <row r="138" spans="1:15" x14ac:dyDescent="0.3">
      <c r="A138" s="389"/>
      <c r="B138" s="448"/>
      <c r="C138" s="448"/>
      <c r="D138" s="448"/>
      <c r="E138" s="448"/>
      <c r="F138" s="448"/>
      <c r="G138" s="448"/>
      <c r="H138" s="448"/>
      <c r="I138" s="448"/>
      <c r="J138" s="448"/>
      <c r="K138" s="448"/>
      <c r="L138" s="448"/>
      <c r="M138" s="499"/>
      <c r="N138" s="591"/>
      <c r="O138" s="387"/>
    </row>
    <row r="139" spans="1:15" x14ac:dyDescent="0.3">
      <c r="A139" s="389"/>
      <c r="B139" s="498" t="s">
        <v>75</v>
      </c>
      <c r="C139" s="399"/>
      <c r="D139" s="399"/>
      <c r="E139" s="391"/>
      <c r="F139" s="391"/>
      <c r="G139" s="391"/>
      <c r="H139" s="391"/>
      <c r="I139" s="391"/>
      <c r="J139" s="391"/>
      <c r="K139" s="391"/>
      <c r="L139" s="391"/>
      <c r="M139" s="502"/>
      <c r="N139" s="591"/>
      <c r="O139" s="387"/>
    </row>
    <row r="140" spans="1:15" x14ac:dyDescent="0.3">
      <c r="A140" s="412"/>
      <c r="B140" s="413" t="s">
        <v>76</v>
      </c>
      <c r="C140" s="413"/>
      <c r="D140" s="413"/>
      <c r="E140" s="413"/>
      <c r="F140" s="413"/>
      <c r="G140" s="413"/>
      <c r="H140" s="413"/>
      <c r="I140" s="413"/>
      <c r="J140" s="413"/>
      <c r="K140" s="413"/>
      <c r="L140" s="413"/>
      <c r="M140" s="467">
        <v>0</v>
      </c>
      <c r="N140" s="437"/>
      <c r="O140" s="387"/>
    </row>
    <row r="141" spans="1:15" x14ac:dyDescent="0.3">
      <c r="A141" s="412"/>
      <c r="B141" s="413" t="s">
        <v>190</v>
      </c>
      <c r="C141" s="413"/>
      <c r="D141" s="413"/>
      <c r="E141" s="413"/>
      <c r="F141" s="413"/>
      <c r="G141" s="413"/>
      <c r="H141" s="413"/>
      <c r="I141" s="413"/>
      <c r="J141" s="413"/>
      <c r="K141" s="413"/>
      <c r="L141" s="413"/>
      <c r="M141" s="467">
        <v>-116</v>
      </c>
      <c r="N141" s="437"/>
      <c r="O141" s="387"/>
    </row>
    <row r="142" spans="1:15" x14ac:dyDescent="0.3">
      <c r="A142" s="412"/>
      <c r="B142" s="413" t="s">
        <v>180</v>
      </c>
      <c r="C142" s="413"/>
      <c r="D142" s="413"/>
      <c r="E142" s="413"/>
      <c r="F142" s="413"/>
      <c r="G142" s="413"/>
      <c r="H142" s="413"/>
      <c r="I142" s="413"/>
      <c r="J142" s="413"/>
      <c r="K142" s="413"/>
      <c r="L142" s="413"/>
      <c r="M142" s="467">
        <f>35+115</f>
        <v>150</v>
      </c>
      <c r="N142" s="437"/>
      <c r="O142" s="387"/>
    </row>
    <row r="143" spans="1:15" x14ac:dyDescent="0.3">
      <c r="A143" s="412"/>
      <c r="B143" s="413" t="s">
        <v>77</v>
      </c>
      <c r="C143" s="413"/>
      <c r="D143" s="413"/>
      <c r="E143" s="413"/>
      <c r="F143" s="413"/>
      <c r="G143" s="413"/>
      <c r="H143" s="413"/>
      <c r="I143" s="413"/>
      <c r="J143" s="413"/>
      <c r="K143" s="413"/>
      <c r="L143" s="413"/>
      <c r="M143" s="467">
        <f>M141+M140+M142</f>
        <v>34</v>
      </c>
      <c r="N143" s="437"/>
      <c r="O143" s="387"/>
    </row>
    <row r="144" spans="1:15" x14ac:dyDescent="0.3">
      <c r="A144" s="412"/>
      <c r="B144" s="413" t="s">
        <v>183</v>
      </c>
      <c r="C144" s="413"/>
      <c r="D144" s="413"/>
      <c r="E144" s="413"/>
      <c r="F144" s="413"/>
      <c r="G144" s="413"/>
      <c r="H144" s="413"/>
      <c r="I144" s="444"/>
      <c r="J144" s="413"/>
      <c r="K144" s="413"/>
      <c r="L144" s="413"/>
      <c r="M144" s="467">
        <f>M98</f>
        <v>-34</v>
      </c>
      <c r="N144" s="437"/>
      <c r="O144" s="387"/>
    </row>
    <row r="145" spans="1:16" x14ac:dyDescent="0.3">
      <c r="A145" s="412"/>
      <c r="B145" s="413" t="s">
        <v>78</v>
      </c>
      <c r="C145" s="413"/>
      <c r="D145" s="413"/>
      <c r="E145" s="413"/>
      <c r="F145" s="413"/>
      <c r="G145" s="413"/>
      <c r="H145" s="413"/>
      <c r="I145" s="413"/>
      <c r="J145" s="413"/>
      <c r="K145" s="413"/>
      <c r="L145" s="413"/>
      <c r="M145" s="467">
        <f>M143+M144</f>
        <v>0</v>
      </c>
      <c r="N145" s="437"/>
      <c r="O145" s="387"/>
    </row>
    <row r="146" spans="1:16" ht="16.2" thickBot="1" x14ac:dyDescent="0.35">
      <c r="A146" s="389"/>
      <c r="B146" s="448"/>
      <c r="C146" s="448"/>
      <c r="D146" s="448"/>
      <c r="E146" s="448"/>
      <c r="F146" s="448"/>
      <c r="G146" s="448"/>
      <c r="H146" s="448"/>
      <c r="I146" s="448"/>
      <c r="J146" s="448"/>
      <c r="K146" s="448"/>
      <c r="L146" s="448"/>
      <c r="M146" s="499"/>
      <c r="N146" s="591"/>
      <c r="O146" s="387"/>
    </row>
    <row r="147" spans="1:16" x14ac:dyDescent="0.3">
      <c r="A147" s="383"/>
      <c r="B147" s="386"/>
      <c r="C147" s="386"/>
      <c r="D147" s="386"/>
      <c r="E147" s="386"/>
      <c r="F147" s="386"/>
      <c r="G147" s="386"/>
      <c r="H147" s="386"/>
      <c r="I147" s="386"/>
      <c r="J147" s="386"/>
      <c r="K147" s="386"/>
      <c r="L147" s="386"/>
      <c r="M147" s="503"/>
      <c r="N147" s="590"/>
      <c r="O147" s="387"/>
    </row>
    <row r="148" spans="1:16" x14ac:dyDescent="0.3">
      <c r="A148" s="389"/>
      <c r="B148" s="498" t="s">
        <v>79</v>
      </c>
      <c r="C148" s="399"/>
      <c r="D148" s="399"/>
      <c r="E148" s="391"/>
      <c r="F148" s="391"/>
      <c r="G148" s="391"/>
      <c r="H148" s="391"/>
      <c r="I148" s="391"/>
      <c r="J148" s="391"/>
      <c r="K148" s="391"/>
      <c r="L148" s="391"/>
      <c r="M148" s="461"/>
      <c r="N148" s="591"/>
      <c r="O148" s="387"/>
    </row>
    <row r="149" spans="1:16" x14ac:dyDescent="0.3">
      <c r="A149" s="389"/>
      <c r="B149" s="497"/>
      <c r="C149" s="399"/>
      <c r="D149" s="399"/>
      <c r="E149" s="391"/>
      <c r="F149" s="391"/>
      <c r="G149" s="391"/>
      <c r="H149" s="391"/>
      <c r="I149" s="391"/>
      <c r="J149" s="391"/>
      <c r="K149" s="391"/>
      <c r="L149" s="391"/>
      <c r="M149" s="461"/>
      <c r="N149" s="591"/>
      <c r="O149" s="387"/>
    </row>
    <row r="150" spans="1:16" x14ac:dyDescent="0.3">
      <c r="A150" s="504"/>
      <c r="B150" s="505" t="s">
        <v>188</v>
      </c>
      <c r="C150" s="506"/>
      <c r="D150" s="506"/>
      <c r="E150" s="505"/>
      <c r="F150" s="505"/>
      <c r="G150" s="505"/>
      <c r="H150" s="505"/>
      <c r="I150" s="505"/>
      <c r="J150" s="505"/>
      <c r="K150" s="505"/>
      <c r="L150" s="505"/>
      <c r="M150" s="507">
        <f>+M62+M72+M73</f>
        <v>0</v>
      </c>
      <c r="N150" s="508"/>
      <c r="O150" s="387"/>
      <c r="P150" s="472"/>
    </row>
    <row r="151" spans="1:16" x14ac:dyDescent="0.3">
      <c r="A151" s="412"/>
      <c r="B151" s="413" t="s">
        <v>80</v>
      </c>
      <c r="C151" s="419"/>
      <c r="D151" s="419"/>
      <c r="E151" s="413"/>
      <c r="F151" s="413"/>
      <c r="G151" s="413"/>
      <c r="H151" s="413"/>
      <c r="I151" s="413"/>
      <c r="J151" s="413"/>
      <c r="K151" s="413"/>
      <c r="L151" s="413"/>
      <c r="M151" s="467">
        <f>M75</f>
        <v>0</v>
      </c>
      <c r="N151" s="437"/>
      <c r="O151" s="387"/>
    </row>
    <row r="152" spans="1:16" ht="16.2" thickBot="1" x14ac:dyDescent="0.35">
      <c r="A152" s="389"/>
      <c r="B152" s="448"/>
      <c r="C152" s="448"/>
      <c r="D152" s="448"/>
      <c r="E152" s="448"/>
      <c r="F152" s="448"/>
      <c r="G152" s="448"/>
      <c r="H152" s="448"/>
      <c r="I152" s="448"/>
      <c r="J152" s="448"/>
      <c r="K152" s="448"/>
      <c r="L152" s="448"/>
      <c r="M152" s="499"/>
      <c r="N152" s="591"/>
      <c r="O152" s="387"/>
    </row>
    <row r="153" spans="1:16" x14ac:dyDescent="0.3">
      <c r="A153" s="383"/>
      <c r="B153" s="386"/>
      <c r="C153" s="386"/>
      <c r="D153" s="386"/>
      <c r="E153" s="386"/>
      <c r="F153" s="386"/>
      <c r="G153" s="386"/>
      <c r="H153" s="386"/>
      <c r="I153" s="386"/>
      <c r="J153" s="386"/>
      <c r="K153" s="386"/>
      <c r="L153" s="386"/>
      <c r="M153" s="503"/>
      <c r="N153" s="590"/>
      <c r="O153" s="387"/>
    </row>
    <row r="154" spans="1:16" x14ac:dyDescent="0.3">
      <c r="A154" s="389"/>
      <c r="B154" s="498" t="s">
        <v>81</v>
      </c>
      <c r="C154" s="509"/>
      <c r="D154" s="509"/>
      <c r="E154" s="465"/>
      <c r="F154" s="465"/>
      <c r="G154" s="465"/>
      <c r="H154" s="465"/>
      <c r="I154" s="510" t="s">
        <v>127</v>
      </c>
      <c r="J154" s="510"/>
      <c r="K154" s="510" t="s">
        <v>134</v>
      </c>
      <c r="L154" s="393"/>
      <c r="M154" s="511" t="s">
        <v>144</v>
      </c>
      <c r="N154" s="596"/>
      <c r="O154" s="387"/>
    </row>
    <row r="155" spans="1:16" x14ac:dyDescent="0.3">
      <c r="A155" s="412"/>
      <c r="B155" s="413" t="s">
        <v>82</v>
      </c>
      <c r="C155" s="413"/>
      <c r="D155" s="413"/>
      <c r="E155" s="413"/>
      <c r="F155" s="413"/>
      <c r="G155" s="413"/>
      <c r="H155" s="413"/>
      <c r="I155" s="467">
        <v>15000</v>
      </c>
      <c r="J155" s="413"/>
      <c r="K155" s="512">
        <v>5000</v>
      </c>
      <c r="L155" s="413"/>
      <c r="M155" s="467">
        <v>15000</v>
      </c>
      <c r="N155" s="417"/>
      <c r="O155" s="387"/>
    </row>
    <row r="156" spans="1:16" x14ac:dyDescent="0.3">
      <c r="A156" s="412"/>
      <c r="B156" s="413" t="s">
        <v>83</v>
      </c>
      <c r="C156" s="413"/>
      <c r="D156" s="413"/>
      <c r="E156" s="413"/>
      <c r="F156" s="413"/>
      <c r="G156" s="413"/>
      <c r="H156" s="413"/>
      <c r="I156" s="467">
        <f>+'July 18'!I156</f>
        <v>7636</v>
      </c>
      <c r="J156" s="413"/>
      <c r="K156" s="467">
        <f>+'July 18'!K156</f>
        <v>0</v>
      </c>
      <c r="L156" s="413"/>
      <c r="M156" s="467">
        <f>K156+I156</f>
        <v>7636</v>
      </c>
      <c r="N156" s="417"/>
      <c r="O156" s="387"/>
    </row>
    <row r="157" spans="1:16" x14ac:dyDescent="0.3">
      <c r="A157" s="412"/>
      <c r="B157" s="413" t="s">
        <v>84</v>
      </c>
      <c r="C157" s="413"/>
      <c r="D157" s="413"/>
      <c r="E157" s="413"/>
      <c r="F157" s="413"/>
      <c r="G157" s="413"/>
      <c r="H157" s="413"/>
      <c r="I157" s="466">
        <v>0</v>
      </c>
      <c r="J157" s="413"/>
      <c r="K157" s="413">
        <v>0</v>
      </c>
      <c r="L157" s="413"/>
      <c r="M157" s="467">
        <f>K157+I157</f>
        <v>0</v>
      </c>
      <c r="N157" s="417"/>
      <c r="O157" s="387"/>
    </row>
    <row r="158" spans="1:16" x14ac:dyDescent="0.3">
      <c r="A158" s="412"/>
      <c r="B158" s="413" t="s">
        <v>85</v>
      </c>
      <c r="C158" s="413"/>
      <c r="D158" s="413"/>
      <c r="E158" s="413"/>
      <c r="F158" s="413"/>
      <c r="G158" s="413"/>
      <c r="H158" s="413"/>
      <c r="I158" s="467">
        <f>I156+I157</f>
        <v>7636</v>
      </c>
      <c r="J158" s="413"/>
      <c r="K158" s="467">
        <f>K157+K156</f>
        <v>0</v>
      </c>
      <c r="L158" s="413"/>
      <c r="M158" s="467">
        <f>K158+I158</f>
        <v>7636</v>
      </c>
      <c r="N158" s="417"/>
      <c r="O158" s="387"/>
    </row>
    <row r="159" spans="1:16" x14ac:dyDescent="0.3">
      <c r="A159" s="412"/>
      <c r="B159" s="413" t="s">
        <v>86</v>
      </c>
      <c r="C159" s="413"/>
      <c r="D159" s="413"/>
      <c r="E159" s="413"/>
      <c r="F159" s="413"/>
      <c r="G159" s="413"/>
      <c r="H159" s="413"/>
      <c r="I159" s="467">
        <f>I155-I158-K158</f>
        <v>7364</v>
      </c>
      <c r="J159" s="413"/>
      <c r="K159" s="441">
        <v>0</v>
      </c>
      <c r="L159" s="413"/>
      <c r="M159" s="467"/>
      <c r="N159" s="417"/>
      <c r="O159" s="387"/>
    </row>
    <row r="160" spans="1:16" ht="16.2" thickBot="1" x14ac:dyDescent="0.35">
      <c r="A160" s="389"/>
      <c r="B160" s="448"/>
      <c r="C160" s="448"/>
      <c r="D160" s="448"/>
      <c r="E160" s="448"/>
      <c r="F160" s="448"/>
      <c r="G160" s="448"/>
      <c r="H160" s="448"/>
      <c r="I160" s="448"/>
      <c r="J160" s="448"/>
      <c r="K160" s="448"/>
      <c r="L160" s="448"/>
      <c r="M160" s="499"/>
      <c r="N160" s="591"/>
      <c r="O160" s="387"/>
    </row>
    <row r="161" spans="1:15" x14ac:dyDescent="0.3">
      <c r="A161" s="383"/>
      <c r="B161" s="386"/>
      <c r="C161" s="386"/>
      <c r="D161" s="386"/>
      <c r="E161" s="386"/>
      <c r="F161" s="386"/>
      <c r="G161" s="386"/>
      <c r="H161" s="386"/>
      <c r="I161" s="386"/>
      <c r="J161" s="386"/>
      <c r="K161" s="386"/>
      <c r="L161" s="386"/>
      <c r="M161" s="503"/>
      <c r="N161" s="590"/>
      <c r="O161" s="387"/>
    </row>
    <row r="162" spans="1:15" x14ac:dyDescent="0.3">
      <c r="A162" s="389"/>
      <c r="B162" s="498" t="s">
        <v>87</v>
      </c>
      <c r="C162" s="399"/>
      <c r="D162" s="399"/>
      <c r="E162" s="391"/>
      <c r="F162" s="391"/>
      <c r="G162" s="391"/>
      <c r="H162" s="391"/>
      <c r="I162" s="391"/>
      <c r="J162" s="391"/>
      <c r="K162" s="391"/>
      <c r="L162" s="391"/>
      <c r="M162" s="513"/>
      <c r="N162" s="591"/>
      <c r="O162" s="387"/>
    </row>
    <row r="163" spans="1:15" x14ac:dyDescent="0.3">
      <c r="A163" s="412"/>
      <c r="B163" s="413" t="s">
        <v>88</v>
      </c>
      <c r="C163" s="413"/>
      <c r="D163" s="413"/>
      <c r="E163" s="413"/>
      <c r="F163" s="413"/>
      <c r="G163" s="413"/>
      <c r="H163" s="413"/>
      <c r="I163" s="413"/>
      <c r="J163" s="413"/>
      <c r="K163" s="413"/>
      <c r="L163" s="413"/>
      <c r="M163" s="514">
        <v>0</v>
      </c>
      <c r="N163" s="437"/>
      <c r="O163" s="387"/>
    </row>
    <row r="164" spans="1:15" x14ac:dyDescent="0.3">
      <c r="A164" s="412"/>
      <c r="B164" s="413" t="s">
        <v>89</v>
      </c>
      <c r="C164" s="413"/>
      <c r="D164" s="413"/>
      <c r="E164" s="413"/>
      <c r="F164" s="413"/>
      <c r="G164" s="413"/>
      <c r="H164" s="413"/>
      <c r="I164" s="413"/>
      <c r="J164" s="413"/>
      <c r="K164" s="413"/>
      <c r="L164" s="413"/>
      <c r="M164" s="516">
        <v>0</v>
      </c>
      <c r="N164" s="437"/>
      <c r="O164" s="387"/>
    </row>
    <row r="165" spans="1:15" x14ac:dyDescent="0.3">
      <c r="A165" s="412"/>
      <c r="B165" s="413" t="s">
        <v>90</v>
      </c>
      <c r="C165" s="413"/>
      <c r="D165" s="413"/>
      <c r="E165" s="413"/>
      <c r="F165" s="413"/>
      <c r="G165" s="413"/>
      <c r="H165" s="413"/>
      <c r="I165" s="413"/>
      <c r="J165" s="413"/>
      <c r="K165" s="413"/>
      <c r="L165" s="413"/>
      <c r="M165" s="514">
        <v>0</v>
      </c>
      <c r="N165" s="437"/>
      <c r="O165" s="387"/>
    </row>
    <row r="166" spans="1:15" x14ac:dyDescent="0.3">
      <c r="A166" s="412"/>
      <c r="B166" s="413" t="s">
        <v>91</v>
      </c>
      <c r="C166" s="413"/>
      <c r="D166" s="413"/>
      <c r="E166" s="413"/>
      <c r="F166" s="413"/>
      <c r="G166" s="413"/>
      <c r="H166" s="413"/>
      <c r="I166" s="413"/>
      <c r="J166" s="413"/>
      <c r="K166" s="413"/>
      <c r="L166" s="413"/>
      <c r="M166" s="516">
        <v>0</v>
      </c>
      <c r="N166" s="437"/>
      <c r="O166" s="387"/>
    </row>
    <row r="167" spans="1:15" x14ac:dyDescent="0.3">
      <c r="A167" s="412"/>
      <c r="B167" s="413" t="s">
        <v>181</v>
      </c>
      <c r="C167" s="413"/>
      <c r="D167" s="413"/>
      <c r="E167" s="413"/>
      <c r="F167" s="413"/>
      <c r="G167" s="413"/>
      <c r="H167" s="413"/>
      <c r="I167" s="413"/>
      <c r="J167" s="413"/>
      <c r="K167" s="413"/>
      <c r="L167" s="413"/>
      <c r="M167" s="514">
        <v>0</v>
      </c>
      <c r="N167" s="437"/>
      <c r="O167" s="387"/>
    </row>
    <row r="168" spans="1:15" x14ac:dyDescent="0.3">
      <c r="A168" s="412"/>
      <c r="B168" s="413" t="s">
        <v>182</v>
      </c>
      <c r="C168" s="413"/>
      <c r="D168" s="413"/>
      <c r="E168" s="413"/>
      <c r="F168" s="413"/>
      <c r="G168" s="413"/>
      <c r="H168" s="413"/>
      <c r="I168" s="413"/>
      <c r="J168" s="413"/>
      <c r="K168" s="413"/>
      <c r="L168" s="413"/>
      <c r="M168" s="516">
        <v>0</v>
      </c>
      <c r="N168" s="437"/>
      <c r="O168" s="387"/>
    </row>
    <row r="169" spans="1:15" x14ac:dyDescent="0.3">
      <c r="A169" s="412"/>
      <c r="B169" s="416"/>
      <c r="C169" s="416"/>
      <c r="D169" s="416"/>
      <c r="E169" s="416"/>
      <c r="F169" s="416"/>
      <c r="G169" s="416"/>
      <c r="H169" s="416"/>
      <c r="I169" s="416"/>
      <c r="J169" s="416"/>
      <c r="K169" s="416"/>
      <c r="L169" s="416"/>
      <c r="M169" s="416"/>
      <c r="N169" s="417"/>
      <c r="O169" s="387"/>
    </row>
    <row r="170" spans="1:15" x14ac:dyDescent="0.3">
      <c r="A170" s="389"/>
      <c r="B170" s="448"/>
      <c r="C170" s="448"/>
      <c r="D170" s="448"/>
      <c r="E170" s="448"/>
      <c r="F170" s="448"/>
      <c r="G170" s="448"/>
      <c r="H170" s="448"/>
      <c r="I170" s="448"/>
      <c r="J170" s="448"/>
      <c r="K170" s="448"/>
      <c r="L170" s="448"/>
      <c r="M170" s="448"/>
      <c r="N170" s="591"/>
      <c r="O170" s="387"/>
    </row>
    <row r="171" spans="1:15" x14ac:dyDescent="0.3">
      <c r="A171" s="389"/>
      <c r="B171" s="391"/>
      <c r="C171" s="391"/>
      <c r="D171" s="391"/>
      <c r="E171" s="391"/>
      <c r="F171" s="391"/>
      <c r="G171" s="391"/>
      <c r="H171" s="391"/>
      <c r="I171" s="391"/>
      <c r="J171" s="391"/>
      <c r="K171" s="391"/>
      <c r="L171" s="391"/>
      <c r="M171" s="391"/>
      <c r="N171" s="591"/>
      <c r="O171" s="387"/>
    </row>
    <row r="172" spans="1:15" ht="18.600000000000001" thickBot="1" x14ac:dyDescent="0.4">
      <c r="A172" s="453"/>
      <c r="B172" s="454" t="str">
        <f>B115</f>
        <v>PSF1 INVESTOR REPORT QUARTER ENDING OCTOBER 2018</v>
      </c>
      <c r="C172" s="455"/>
      <c r="D172" s="455"/>
      <c r="E172" s="455"/>
      <c r="F172" s="455"/>
      <c r="G172" s="455"/>
      <c r="H172" s="455"/>
      <c r="I172" s="455"/>
      <c r="J172" s="455"/>
      <c r="K172" s="455"/>
      <c r="L172" s="455"/>
      <c r="M172" s="455"/>
      <c r="N172" s="457"/>
      <c r="O172" s="387"/>
    </row>
    <row r="173" spans="1:15" x14ac:dyDescent="0.3">
      <c r="A173" s="517"/>
      <c r="B173" s="493" t="s">
        <v>92</v>
      </c>
      <c r="C173" s="518"/>
      <c r="D173" s="518"/>
      <c r="E173" s="518"/>
      <c r="F173" s="518"/>
      <c r="G173" s="518"/>
      <c r="H173" s="519"/>
      <c r="I173" s="519"/>
      <c r="J173" s="519"/>
      <c r="K173" s="519">
        <v>43404</v>
      </c>
      <c r="L173" s="520"/>
      <c r="M173" s="520"/>
      <c r="N173" s="597"/>
      <c r="O173" s="387"/>
    </row>
    <row r="174" spans="1:15" x14ac:dyDescent="0.3">
      <c r="A174" s="521"/>
      <c r="B174" s="522"/>
      <c r="C174" s="523"/>
      <c r="D174" s="523"/>
      <c r="E174" s="523"/>
      <c r="F174" s="523"/>
      <c r="G174" s="523"/>
      <c r="H174" s="524"/>
      <c r="I174" s="524"/>
      <c r="J174" s="524"/>
      <c r="K174" s="524"/>
      <c r="L174" s="391"/>
      <c r="M174" s="391"/>
      <c r="N174" s="591"/>
      <c r="O174" s="387"/>
    </row>
    <row r="175" spans="1:15" x14ac:dyDescent="0.3">
      <c r="A175" s="525"/>
      <c r="B175" s="413" t="s">
        <v>93</v>
      </c>
      <c r="C175" s="526"/>
      <c r="D175" s="526"/>
      <c r="E175" s="526"/>
      <c r="F175" s="526"/>
      <c r="G175" s="526"/>
      <c r="H175" s="444"/>
      <c r="I175" s="444"/>
      <c r="J175" s="444"/>
      <c r="K175" s="439">
        <v>9.4600000000000004E-2</v>
      </c>
      <c r="L175" s="413"/>
      <c r="M175" s="424"/>
      <c r="N175" s="437"/>
      <c r="O175" s="387"/>
    </row>
    <row r="176" spans="1:15" x14ac:dyDescent="0.3">
      <c r="A176" s="525"/>
      <c r="B176" s="413" t="s">
        <v>94</v>
      </c>
      <c r="C176" s="526"/>
      <c r="D176" s="526"/>
      <c r="E176" s="526"/>
      <c r="F176" s="526"/>
      <c r="G176" s="526"/>
      <c r="H176" s="444"/>
      <c r="I176" s="444"/>
      <c r="J176" s="444"/>
      <c r="K176" s="439">
        <v>5.2327499999999992E-2</v>
      </c>
      <c r="L176" s="413"/>
      <c r="M176" s="424"/>
      <c r="N176" s="437"/>
      <c r="O176" s="387"/>
    </row>
    <row r="177" spans="1:15" x14ac:dyDescent="0.3">
      <c r="A177" s="525"/>
      <c r="B177" s="413" t="s">
        <v>95</v>
      </c>
      <c r="C177" s="526"/>
      <c r="D177" s="526"/>
      <c r="E177" s="526"/>
      <c r="F177" s="526"/>
      <c r="G177" s="526"/>
      <c r="H177" s="444"/>
      <c r="I177" s="444"/>
      <c r="J177" s="444"/>
      <c r="K177" s="439">
        <f>K175-K176</f>
        <v>4.2272500000000011E-2</v>
      </c>
      <c r="L177" s="413"/>
      <c r="M177" s="424"/>
      <c r="N177" s="437"/>
      <c r="O177" s="387"/>
    </row>
    <row r="178" spans="1:15" x14ac:dyDescent="0.3">
      <c r="A178" s="525"/>
      <c r="B178" s="413" t="s">
        <v>96</v>
      </c>
      <c r="C178" s="526"/>
      <c r="D178" s="526"/>
      <c r="E178" s="526"/>
      <c r="F178" s="526"/>
      <c r="G178" s="526"/>
      <c r="H178" s="444"/>
      <c r="I178" s="444"/>
      <c r="J178" s="444"/>
      <c r="K178" s="439">
        <v>0</v>
      </c>
      <c r="L178" s="413"/>
      <c r="M178" s="424"/>
      <c r="N178" s="437"/>
      <c r="O178" s="387"/>
    </row>
    <row r="179" spans="1:15" x14ac:dyDescent="0.3">
      <c r="A179" s="525"/>
      <c r="B179" s="413" t="s">
        <v>97</v>
      </c>
      <c r="C179" s="526"/>
      <c r="D179" s="526"/>
      <c r="E179" s="526"/>
      <c r="F179" s="526"/>
      <c r="G179" s="526"/>
      <c r="H179" s="444"/>
      <c r="I179" s="444"/>
      <c r="J179" s="444"/>
      <c r="K179" s="439">
        <v>0</v>
      </c>
      <c r="L179" s="413"/>
      <c r="M179" s="424"/>
      <c r="N179" s="437"/>
      <c r="O179" s="387"/>
    </row>
    <row r="180" spans="1:15" x14ac:dyDescent="0.3">
      <c r="A180" s="525"/>
      <c r="B180" s="413" t="s">
        <v>98</v>
      </c>
      <c r="C180" s="526"/>
      <c r="D180" s="526"/>
      <c r="E180" s="526"/>
      <c r="F180" s="526"/>
      <c r="G180" s="526"/>
      <c r="H180" s="444"/>
      <c r="I180" s="444"/>
      <c r="J180" s="444"/>
      <c r="K180" s="439">
        <f>K178-K179</f>
        <v>0</v>
      </c>
      <c r="L180" s="413"/>
      <c r="M180" s="424"/>
      <c r="N180" s="437"/>
      <c r="O180" s="387"/>
    </row>
    <row r="181" spans="1:15" x14ac:dyDescent="0.3">
      <c r="A181" s="525"/>
      <c r="B181" s="413" t="s">
        <v>211</v>
      </c>
      <c r="C181" s="526"/>
      <c r="D181" s="526"/>
      <c r="E181" s="526"/>
      <c r="F181" s="526"/>
      <c r="G181" s="526"/>
      <c r="H181" s="444"/>
      <c r="I181" s="444"/>
      <c r="J181" s="444"/>
      <c r="K181" s="439">
        <v>0</v>
      </c>
      <c r="L181" s="413"/>
      <c r="M181" s="424"/>
      <c r="N181" s="437"/>
      <c r="O181" s="387"/>
    </row>
    <row r="182" spans="1:15" x14ac:dyDescent="0.3">
      <c r="A182" s="525"/>
      <c r="B182" s="413" t="s">
        <v>99</v>
      </c>
      <c r="C182" s="526"/>
      <c r="D182" s="526"/>
      <c r="E182" s="526"/>
      <c r="F182" s="526"/>
      <c r="G182" s="526"/>
      <c r="H182" s="444"/>
      <c r="I182" s="444"/>
      <c r="J182" s="444"/>
      <c r="K182" s="527">
        <v>49628</v>
      </c>
      <c r="L182" s="413"/>
      <c r="M182" s="424"/>
      <c r="N182" s="437"/>
      <c r="O182" s="387"/>
    </row>
    <row r="183" spans="1:15" x14ac:dyDescent="0.3">
      <c r="A183" s="525"/>
      <c r="B183" s="413" t="s">
        <v>100</v>
      </c>
      <c r="C183" s="526"/>
      <c r="D183" s="526"/>
      <c r="E183" s="526"/>
      <c r="F183" s="526"/>
      <c r="G183" s="526"/>
      <c r="H183" s="444"/>
      <c r="I183" s="444"/>
      <c r="J183" s="444"/>
      <c r="K183" s="527">
        <v>49628</v>
      </c>
      <c r="L183" s="413"/>
      <c r="M183" s="424"/>
      <c r="N183" s="437"/>
      <c r="O183" s="387"/>
    </row>
    <row r="184" spans="1:15" x14ac:dyDescent="0.3">
      <c r="A184" s="525"/>
      <c r="B184" s="413" t="s">
        <v>165</v>
      </c>
      <c r="C184" s="526"/>
      <c r="D184" s="526"/>
      <c r="E184" s="526"/>
      <c r="F184" s="526"/>
      <c r="G184" s="526"/>
      <c r="H184" s="444"/>
      <c r="I184" s="444"/>
      <c r="J184" s="444"/>
      <c r="K184" s="527">
        <v>49628</v>
      </c>
      <c r="L184" s="413"/>
      <c r="M184" s="424"/>
      <c r="N184" s="437"/>
      <c r="O184" s="387"/>
    </row>
    <row r="185" spans="1:15" x14ac:dyDescent="0.3">
      <c r="A185" s="525"/>
      <c r="B185" s="413" t="s">
        <v>101</v>
      </c>
      <c r="C185" s="526"/>
      <c r="D185" s="526"/>
      <c r="E185" s="526"/>
      <c r="F185" s="526"/>
      <c r="G185" s="526"/>
      <c r="H185" s="444"/>
      <c r="I185" s="444"/>
      <c r="J185" s="444"/>
      <c r="K185" s="443">
        <v>15.78</v>
      </c>
      <c r="L185" s="413" t="s">
        <v>139</v>
      </c>
      <c r="M185" s="424"/>
      <c r="N185" s="437"/>
      <c r="O185" s="387"/>
    </row>
    <row r="186" spans="1:15" x14ac:dyDescent="0.3">
      <c r="A186" s="525"/>
      <c r="B186" s="413" t="s">
        <v>102</v>
      </c>
      <c r="C186" s="526"/>
      <c r="D186" s="526"/>
      <c r="E186" s="526"/>
      <c r="F186" s="526"/>
      <c r="G186" s="526"/>
      <c r="H186" s="444"/>
      <c r="I186" s="444"/>
      <c r="J186" s="444"/>
      <c r="K186" s="443">
        <v>0</v>
      </c>
      <c r="L186" s="413" t="s">
        <v>139</v>
      </c>
      <c r="M186" s="424"/>
      <c r="N186" s="437"/>
      <c r="O186" s="387"/>
    </row>
    <row r="187" spans="1:15" x14ac:dyDescent="0.3">
      <c r="A187" s="525"/>
      <c r="B187" s="413" t="s">
        <v>103</v>
      </c>
      <c r="C187" s="526"/>
      <c r="D187" s="526"/>
      <c r="E187" s="526"/>
      <c r="F187" s="526"/>
      <c r="G187" s="526"/>
      <c r="H187" s="444"/>
      <c r="I187" s="444"/>
      <c r="J187" s="444"/>
      <c r="K187" s="439">
        <v>1</v>
      </c>
      <c r="L187" s="413"/>
      <c r="M187" s="424"/>
      <c r="N187" s="437"/>
      <c r="O187" s="387"/>
    </row>
    <row r="188" spans="1:15" x14ac:dyDescent="0.3">
      <c r="A188" s="525"/>
      <c r="B188" s="413" t="s">
        <v>104</v>
      </c>
      <c r="C188" s="526"/>
      <c r="D188" s="526"/>
      <c r="E188" s="526"/>
      <c r="F188" s="526"/>
      <c r="G188" s="526"/>
      <c r="H188" s="444"/>
      <c r="I188" s="444"/>
      <c r="J188" s="444"/>
      <c r="K188" s="439">
        <v>1</v>
      </c>
      <c r="L188" s="413"/>
      <c r="M188" s="424"/>
      <c r="N188" s="437"/>
      <c r="O188" s="387"/>
    </row>
    <row r="189" spans="1:15" x14ac:dyDescent="0.3">
      <c r="A189" s="521"/>
      <c r="B189" s="475"/>
      <c r="C189" s="475"/>
      <c r="D189" s="475"/>
      <c r="E189" s="475"/>
      <c r="F189" s="475"/>
      <c r="G189" s="475"/>
      <c r="H189" s="475"/>
      <c r="I189" s="475"/>
      <c r="J189" s="475"/>
      <c r="K189" s="528"/>
      <c r="L189" s="475"/>
      <c r="M189" s="529"/>
      <c r="N189" s="594"/>
      <c r="O189" s="387"/>
    </row>
    <row r="190" spans="1:15" x14ac:dyDescent="0.3">
      <c r="A190" s="530"/>
      <c r="B190" s="583" t="s">
        <v>105</v>
      </c>
      <c r="C190" s="584"/>
      <c r="D190" s="584"/>
      <c r="E190" s="585"/>
      <c r="F190" s="584"/>
      <c r="G190" s="585"/>
      <c r="H190" s="584"/>
      <c r="I190" s="585"/>
      <c r="J190" s="584" t="s">
        <v>128</v>
      </c>
      <c r="K190" s="585" t="s">
        <v>135</v>
      </c>
      <c r="L190" s="576"/>
      <c r="M190" s="576"/>
      <c r="N190" s="579"/>
      <c r="O190" s="387"/>
    </row>
    <row r="191" spans="1:15" x14ac:dyDescent="0.3">
      <c r="A191" s="548"/>
      <c r="B191" s="473" t="s">
        <v>106</v>
      </c>
      <c r="C191" s="474"/>
      <c r="D191" s="474"/>
      <c r="E191" s="474"/>
      <c r="F191" s="474"/>
      <c r="G191" s="473"/>
      <c r="H191" s="473"/>
      <c r="I191" s="473"/>
      <c r="J191" s="580">
        <v>0</v>
      </c>
      <c r="K191" s="581">
        <v>0</v>
      </c>
      <c r="L191" s="475"/>
      <c r="M191" s="582"/>
      <c r="N191" s="598"/>
      <c r="O191" s="387"/>
    </row>
    <row r="192" spans="1:15" x14ac:dyDescent="0.3">
      <c r="A192" s="531"/>
      <c r="B192" s="413" t="s">
        <v>196</v>
      </c>
      <c r="C192" s="466"/>
      <c r="D192" s="466"/>
      <c r="E192" s="466"/>
      <c r="F192" s="466"/>
      <c r="G192" s="413"/>
      <c r="H192" s="413"/>
      <c r="I192" s="413"/>
      <c r="J192" s="423">
        <v>0</v>
      </c>
      <c r="K192" s="603">
        <v>0</v>
      </c>
      <c r="L192" s="424"/>
      <c r="M192" s="533"/>
      <c r="N192" s="534"/>
      <c r="O192" s="387"/>
    </row>
    <row r="193" spans="1:15" x14ac:dyDescent="0.3">
      <c r="A193" s="531"/>
      <c r="B193" s="431" t="s">
        <v>107</v>
      </c>
      <c r="C193" s="535"/>
      <c r="D193" s="535"/>
      <c r="E193" s="535"/>
      <c r="F193" s="535"/>
      <c r="G193" s="416"/>
      <c r="H193" s="416"/>
      <c r="I193" s="416"/>
      <c r="J193" s="416"/>
      <c r="K193" s="532">
        <v>0</v>
      </c>
      <c r="L193" s="416"/>
      <c r="M193" s="536"/>
      <c r="N193" s="537"/>
      <c r="O193" s="387"/>
    </row>
    <row r="194" spans="1:15" x14ac:dyDescent="0.3">
      <c r="A194" s="531"/>
      <c r="B194" s="431" t="s">
        <v>240</v>
      </c>
      <c r="C194" s="535"/>
      <c r="D194" s="535"/>
      <c r="E194" s="535"/>
      <c r="F194" s="535"/>
      <c r="G194" s="416"/>
      <c r="H194" s="416"/>
      <c r="I194" s="416"/>
      <c r="J194" s="416"/>
      <c r="K194" s="532">
        <f>+I58</f>
        <v>0</v>
      </c>
      <c r="L194" s="416"/>
      <c r="M194" s="536"/>
      <c r="N194" s="537"/>
      <c r="O194" s="387"/>
    </row>
    <row r="195" spans="1:15" x14ac:dyDescent="0.3">
      <c r="A195" s="538"/>
      <c r="B195" s="431" t="s">
        <v>109</v>
      </c>
      <c r="C195" s="535"/>
      <c r="D195" s="535"/>
      <c r="E195" s="539"/>
      <c r="F195" s="539"/>
      <c r="G195" s="539"/>
      <c r="H195" s="416"/>
      <c r="I195" s="416"/>
      <c r="J195" s="416"/>
      <c r="K195" s="540"/>
      <c r="L195" s="416"/>
      <c r="M195" s="536"/>
      <c r="N195" s="541"/>
      <c r="O195" s="387"/>
    </row>
    <row r="196" spans="1:15" x14ac:dyDescent="0.3">
      <c r="A196" s="538"/>
      <c r="B196" s="413" t="s">
        <v>110</v>
      </c>
      <c r="C196" s="466"/>
      <c r="D196" s="466"/>
      <c r="E196" s="413"/>
      <c r="F196" s="413"/>
      <c r="G196" s="413"/>
      <c r="H196" s="413"/>
      <c r="I196" s="413"/>
      <c r="J196" s="413"/>
      <c r="K196" s="532">
        <f>+M143</f>
        <v>34</v>
      </c>
      <c r="L196" s="424"/>
      <c r="M196" s="536"/>
      <c r="N196" s="541"/>
      <c r="O196" s="387"/>
    </row>
    <row r="197" spans="1:15" x14ac:dyDescent="0.3">
      <c r="A197" s="531"/>
      <c r="B197" s="413" t="s">
        <v>111</v>
      </c>
      <c r="C197" s="466"/>
      <c r="D197" s="466"/>
      <c r="E197" s="466"/>
      <c r="F197" s="466"/>
      <c r="G197" s="466"/>
      <c r="H197" s="413"/>
      <c r="I197" s="413"/>
      <c r="J197" s="413"/>
      <c r="K197" s="532">
        <f>'July 18'!K195+'Oct 18'!K196</f>
        <v>36387</v>
      </c>
      <c r="L197" s="424"/>
      <c r="M197" s="536"/>
      <c r="N197" s="541"/>
      <c r="O197" s="387"/>
    </row>
    <row r="198" spans="1:15" x14ac:dyDescent="0.3">
      <c r="A198" s="531"/>
      <c r="B198" s="413" t="s">
        <v>112</v>
      </c>
      <c r="C198" s="466"/>
      <c r="D198" s="466"/>
      <c r="E198" s="466"/>
      <c r="F198" s="466"/>
      <c r="G198" s="466"/>
      <c r="H198" s="413"/>
      <c r="I198" s="413"/>
      <c r="J198" s="413"/>
      <c r="K198" s="532">
        <f>'July 18'!K196+346</f>
        <v>19707</v>
      </c>
      <c r="L198" s="424"/>
      <c r="M198" s="536"/>
      <c r="N198" s="541"/>
      <c r="O198" s="387"/>
    </row>
    <row r="199" spans="1:15" x14ac:dyDescent="0.3">
      <c r="A199" s="538"/>
      <c r="B199" s="431" t="s">
        <v>241</v>
      </c>
      <c r="C199" s="535"/>
      <c r="D199" s="535"/>
      <c r="E199" s="539"/>
      <c r="F199" s="539"/>
      <c r="G199" s="539"/>
      <c r="H199" s="416"/>
      <c r="I199" s="416"/>
      <c r="J199" s="416"/>
      <c r="K199" s="540"/>
      <c r="L199" s="416"/>
      <c r="M199" s="536"/>
      <c r="N199" s="541"/>
      <c r="O199" s="387"/>
    </row>
    <row r="200" spans="1:15" x14ac:dyDescent="0.3">
      <c r="A200" s="538"/>
      <c r="B200" s="413" t="s">
        <v>236</v>
      </c>
      <c r="C200" s="466"/>
      <c r="D200" s="466"/>
      <c r="E200" s="413"/>
      <c r="F200" s="413"/>
      <c r="G200" s="413"/>
      <c r="H200" s="413"/>
      <c r="I200" s="413"/>
      <c r="J200" s="413"/>
      <c r="K200" s="603">
        <v>0</v>
      </c>
      <c r="L200" s="424"/>
      <c r="M200" s="533"/>
      <c r="N200" s="541"/>
      <c r="O200" s="387"/>
    </row>
    <row r="201" spans="1:15" x14ac:dyDescent="0.3">
      <c r="A201" s="531"/>
      <c r="B201" s="413" t="s">
        <v>113</v>
      </c>
      <c r="C201" s="466"/>
      <c r="D201" s="466"/>
      <c r="E201" s="441"/>
      <c r="F201" s="441"/>
      <c r="G201" s="542"/>
      <c r="H201" s="413"/>
      <c r="I201" s="413"/>
      <c r="J201" s="413"/>
      <c r="K201" s="604">
        <v>0</v>
      </c>
      <c r="L201" s="424"/>
      <c r="M201" s="533"/>
      <c r="N201" s="541"/>
      <c r="O201" s="387"/>
    </row>
    <row r="202" spans="1:15" x14ac:dyDescent="0.3">
      <c r="A202" s="531"/>
      <c r="B202" s="413" t="s">
        <v>114</v>
      </c>
      <c r="C202" s="466"/>
      <c r="D202" s="466"/>
      <c r="E202" s="441"/>
      <c r="F202" s="441"/>
      <c r="G202" s="542"/>
      <c r="H202" s="413"/>
      <c r="I202" s="413"/>
      <c r="J202" s="413"/>
      <c r="K202" s="604">
        <v>0</v>
      </c>
      <c r="L202" s="424"/>
      <c r="M202" s="533"/>
      <c r="N202" s="541"/>
      <c r="O202" s="387"/>
    </row>
    <row r="203" spans="1:15" x14ac:dyDescent="0.3">
      <c r="A203" s="531"/>
      <c r="B203" s="539"/>
      <c r="C203" s="535"/>
      <c r="D203" s="535"/>
      <c r="E203" s="543"/>
      <c r="F203" s="544"/>
      <c r="G203" s="545"/>
      <c r="H203" s="416"/>
      <c r="I203" s="416"/>
      <c r="J203" s="416"/>
      <c r="K203" s="546"/>
      <c r="L203" s="416"/>
      <c r="M203" s="536"/>
      <c r="N203" s="541"/>
      <c r="O203" s="387"/>
    </row>
    <row r="204" spans="1:15" ht="18" x14ac:dyDescent="0.35">
      <c r="A204" s="531"/>
      <c r="B204" s="547" t="s">
        <v>200</v>
      </c>
      <c r="C204" s="535"/>
      <c r="D204" s="535"/>
      <c r="E204" s="543"/>
      <c r="F204" s="544"/>
      <c r="G204" s="545"/>
      <c r="H204" s="416"/>
      <c r="I204" s="416"/>
      <c r="J204" s="416"/>
      <c r="K204" s="569" t="s">
        <v>286</v>
      </c>
      <c r="L204" s="416"/>
      <c r="M204" s="536"/>
      <c r="N204" s="541"/>
      <c r="O204" s="387"/>
    </row>
    <row r="205" spans="1:15" x14ac:dyDescent="0.3">
      <c r="A205" s="548"/>
      <c r="B205" s="549"/>
      <c r="C205" s="469"/>
      <c r="D205" s="469"/>
      <c r="E205" s="550"/>
      <c r="F205" s="551"/>
      <c r="G205" s="552"/>
      <c r="H205" s="448"/>
      <c r="I205" s="448"/>
      <c r="J205" s="448"/>
      <c r="K205" s="553"/>
      <c r="L205" s="448"/>
      <c r="M205" s="554"/>
      <c r="N205" s="599"/>
      <c r="O205" s="387"/>
    </row>
    <row r="206" spans="1:15" x14ac:dyDescent="0.3">
      <c r="A206" s="410"/>
      <c r="B206" s="583" t="s">
        <v>115</v>
      </c>
      <c r="C206" s="584"/>
      <c r="D206" s="584"/>
      <c r="E206" s="585"/>
      <c r="F206" s="584"/>
      <c r="G206" s="585"/>
      <c r="H206" s="584"/>
      <c r="I206" s="585" t="s">
        <v>128</v>
      </c>
      <c r="J206" s="584" t="s">
        <v>129</v>
      </c>
      <c r="K206" s="585" t="s">
        <v>137</v>
      </c>
      <c r="L206" s="584" t="s">
        <v>129</v>
      </c>
      <c r="M206" s="576"/>
      <c r="N206" s="589"/>
      <c r="O206" s="387"/>
    </row>
    <row r="207" spans="1:15" x14ac:dyDescent="0.3">
      <c r="A207" s="561"/>
      <c r="B207" s="474" t="s">
        <v>116</v>
      </c>
      <c r="C207" s="586"/>
      <c r="D207" s="586"/>
      <c r="E207" s="474"/>
      <c r="F207" s="586"/>
      <c r="G207" s="473"/>
      <c r="H207" s="586"/>
      <c r="I207" s="474">
        <v>0</v>
      </c>
      <c r="J207" s="587">
        <v>0</v>
      </c>
      <c r="K207" s="563">
        <v>0</v>
      </c>
      <c r="L207" s="587">
        <v>0</v>
      </c>
      <c r="M207" s="588"/>
      <c r="N207" s="600"/>
      <c r="O207" s="387"/>
    </row>
    <row r="208" spans="1:15" x14ac:dyDescent="0.3">
      <c r="A208" s="555"/>
      <c r="B208" s="466" t="s">
        <v>117</v>
      </c>
      <c r="C208" s="556"/>
      <c r="D208" s="556"/>
      <c r="E208" s="466"/>
      <c r="F208" s="556"/>
      <c r="G208" s="413"/>
      <c r="H208" s="557"/>
      <c r="I208" s="466">
        <v>0</v>
      </c>
      <c r="J208" s="557">
        <v>0</v>
      </c>
      <c r="K208" s="467">
        <v>0</v>
      </c>
      <c r="L208" s="557">
        <v>0</v>
      </c>
      <c r="M208" s="558"/>
      <c r="N208" s="534"/>
      <c r="O208" s="387"/>
    </row>
    <row r="209" spans="1:15" x14ac:dyDescent="0.3">
      <c r="A209" s="555"/>
      <c r="B209" s="466" t="s">
        <v>118</v>
      </c>
      <c r="C209" s="556"/>
      <c r="D209" s="556"/>
      <c r="E209" s="466"/>
      <c r="F209" s="556"/>
      <c r="G209" s="466"/>
      <c r="H209" s="557"/>
      <c r="I209" s="466">
        <v>0</v>
      </c>
      <c r="J209" s="557">
        <v>0</v>
      </c>
      <c r="K209" s="467">
        <v>0</v>
      </c>
      <c r="L209" s="557">
        <v>0</v>
      </c>
      <c r="M209" s="559"/>
      <c r="N209" s="534"/>
      <c r="O209" s="387"/>
    </row>
    <row r="210" spans="1:15" x14ac:dyDescent="0.3">
      <c r="A210" s="555"/>
      <c r="B210" s="466" t="s">
        <v>167</v>
      </c>
      <c r="C210" s="556"/>
      <c r="D210" s="556"/>
      <c r="E210" s="466"/>
      <c r="F210" s="556"/>
      <c r="G210" s="466"/>
      <c r="H210" s="557"/>
      <c r="I210" s="466">
        <v>0</v>
      </c>
      <c r="J210" s="557">
        <v>0</v>
      </c>
      <c r="K210" s="467">
        <v>0</v>
      </c>
      <c r="L210" s="557">
        <v>0</v>
      </c>
      <c r="M210" s="559"/>
      <c r="N210" s="534"/>
      <c r="O210" s="387"/>
    </row>
    <row r="211" spans="1:15" x14ac:dyDescent="0.3">
      <c r="A211" s="555"/>
      <c r="B211" s="466" t="s">
        <v>168</v>
      </c>
      <c r="C211" s="556"/>
      <c r="D211" s="556"/>
      <c r="E211" s="466"/>
      <c r="F211" s="556"/>
      <c r="G211" s="413"/>
      <c r="H211" s="557"/>
      <c r="I211" s="466">
        <v>0</v>
      </c>
      <c r="J211" s="557">
        <v>0</v>
      </c>
      <c r="K211" s="467">
        <v>0</v>
      </c>
      <c r="L211" s="557">
        <v>0</v>
      </c>
      <c r="M211" s="559"/>
      <c r="N211" s="534"/>
      <c r="O211" s="387"/>
    </row>
    <row r="212" spans="1:15" x14ac:dyDescent="0.3">
      <c r="A212" s="555"/>
      <c r="B212" s="466" t="s">
        <v>169</v>
      </c>
      <c r="C212" s="556"/>
      <c r="D212" s="556"/>
      <c r="E212" s="466"/>
      <c r="F212" s="556"/>
      <c r="G212" s="413"/>
      <c r="H212" s="557"/>
      <c r="I212" s="466">
        <v>0</v>
      </c>
      <c r="J212" s="557">
        <v>0</v>
      </c>
      <c r="K212" s="467">
        <v>0</v>
      </c>
      <c r="L212" s="557">
        <v>0</v>
      </c>
      <c r="M212" s="559"/>
      <c r="N212" s="560"/>
      <c r="O212" s="387"/>
    </row>
    <row r="213" spans="1:15" x14ac:dyDescent="0.3">
      <c r="A213" s="555"/>
      <c r="B213" s="466" t="s">
        <v>176</v>
      </c>
      <c r="C213" s="556"/>
      <c r="D213" s="556"/>
      <c r="E213" s="466"/>
      <c r="F213" s="556"/>
      <c r="G213" s="413"/>
      <c r="H213" s="557"/>
      <c r="I213" s="466">
        <v>0</v>
      </c>
      <c r="J213" s="557">
        <v>0</v>
      </c>
      <c r="K213" s="467">
        <v>0</v>
      </c>
      <c r="L213" s="557">
        <v>0</v>
      </c>
      <c r="M213" s="558"/>
      <c r="N213" s="534"/>
      <c r="O213" s="387"/>
    </row>
    <row r="214" spans="1:15" x14ac:dyDescent="0.3">
      <c r="A214" s="555"/>
      <c r="B214" s="466" t="s">
        <v>202</v>
      </c>
      <c r="C214" s="556"/>
      <c r="D214" s="556"/>
      <c r="E214" s="466"/>
      <c r="F214" s="556"/>
      <c r="G214" s="413"/>
      <c r="H214" s="557"/>
      <c r="I214" s="466">
        <v>0</v>
      </c>
      <c r="J214" s="557">
        <v>0</v>
      </c>
      <c r="K214" s="467">
        <v>0</v>
      </c>
      <c r="L214" s="557">
        <v>0</v>
      </c>
      <c r="M214" s="558"/>
      <c r="N214" s="534"/>
      <c r="O214" s="387"/>
    </row>
    <row r="215" spans="1:15" x14ac:dyDescent="0.3">
      <c r="A215" s="555"/>
      <c r="B215" s="413" t="s">
        <v>189</v>
      </c>
      <c r="C215" s="413"/>
      <c r="D215" s="413"/>
      <c r="E215" s="413"/>
      <c r="F215" s="413"/>
      <c r="G215" s="466"/>
      <c r="H215" s="413"/>
      <c r="I215" s="466">
        <f>SUM(I207:I214)</f>
        <v>0</v>
      </c>
      <c r="J215" s="557">
        <f>SUM(J207:J214)</f>
        <v>0</v>
      </c>
      <c r="K215" s="467">
        <f>SUM(K207:K214)</f>
        <v>0</v>
      </c>
      <c r="L215" s="557">
        <v>0</v>
      </c>
      <c r="M215" s="413"/>
      <c r="N215" s="437"/>
      <c r="O215" s="387"/>
    </row>
    <row r="216" spans="1:15" x14ac:dyDescent="0.3">
      <c r="A216" s="555"/>
      <c r="B216" s="466" t="s">
        <v>170</v>
      </c>
      <c r="C216" s="556"/>
      <c r="D216" s="556"/>
      <c r="E216" s="466"/>
      <c r="F216" s="556"/>
      <c r="G216" s="466"/>
      <c r="H216" s="557"/>
      <c r="I216" s="466">
        <v>0</v>
      </c>
      <c r="J216" s="557"/>
      <c r="K216" s="467">
        <v>0</v>
      </c>
      <c r="L216" s="557"/>
      <c r="M216" s="413"/>
      <c r="N216" s="437"/>
      <c r="O216" s="387"/>
    </row>
    <row r="217" spans="1:15" x14ac:dyDescent="0.3">
      <c r="A217" s="555"/>
      <c r="B217" s="413"/>
      <c r="C217" s="413"/>
      <c r="D217" s="413"/>
      <c r="E217" s="413"/>
      <c r="F217" s="413"/>
      <c r="G217" s="413"/>
      <c r="H217" s="466"/>
      <c r="I217" s="466"/>
      <c r="J217" s="557"/>
      <c r="K217" s="467"/>
      <c r="L217" s="557"/>
      <c r="M217" s="413"/>
      <c r="N217" s="437"/>
      <c r="O217" s="387"/>
    </row>
    <row r="218" spans="1:15" x14ac:dyDescent="0.3">
      <c r="A218" s="555"/>
      <c r="B218" s="413" t="s">
        <v>232</v>
      </c>
      <c r="C218" s="413"/>
      <c r="D218" s="413"/>
      <c r="E218" s="413"/>
      <c r="F218" s="413"/>
      <c r="G218" s="413"/>
      <c r="H218" s="413"/>
      <c r="I218" s="466"/>
      <c r="J218" s="602">
        <v>0</v>
      </c>
      <c r="K218" s="467"/>
      <c r="L218" s="557"/>
      <c r="M218" s="413"/>
      <c r="N218" s="437"/>
      <c r="O218" s="387"/>
    </row>
    <row r="219" spans="1:15" x14ac:dyDescent="0.3">
      <c r="A219" s="561"/>
      <c r="B219" s="473"/>
      <c r="C219" s="473"/>
      <c r="D219" s="473"/>
      <c r="E219" s="473"/>
      <c r="F219" s="473"/>
      <c r="G219" s="473"/>
      <c r="H219" s="473"/>
      <c r="I219" s="474"/>
      <c r="J219" s="562"/>
      <c r="K219" s="563"/>
      <c r="L219" s="562"/>
      <c r="M219" s="473"/>
      <c r="N219" s="594"/>
      <c r="O219" s="387"/>
    </row>
    <row r="220" spans="1:15" x14ac:dyDescent="0.3">
      <c r="A220" s="561"/>
      <c r="B220" s="400" t="s">
        <v>215</v>
      </c>
      <c r="C220" s="401"/>
      <c r="D220" s="401"/>
      <c r="E220" s="401"/>
      <c r="F220" s="404" t="s">
        <v>216</v>
      </c>
      <c r="G220" s="401"/>
      <c r="H220" s="400" t="s">
        <v>217</v>
      </c>
      <c r="I220" s="564"/>
      <c r="J220" s="401"/>
      <c r="K220" s="564"/>
      <c r="L220" s="401"/>
      <c r="M220" s="401"/>
      <c r="N220" s="594"/>
      <c r="O220" s="387"/>
    </row>
    <row r="221" spans="1:15" x14ac:dyDescent="0.3">
      <c r="A221" s="561"/>
      <c r="B221" s="401"/>
      <c r="C221" s="401"/>
      <c r="D221" s="401"/>
      <c r="E221" s="401"/>
      <c r="F221" s="401"/>
      <c r="G221" s="401"/>
      <c r="H221" s="401"/>
      <c r="I221" s="401"/>
      <c r="J221" s="401"/>
      <c r="K221" s="401"/>
      <c r="L221" s="401"/>
      <c r="M221" s="401"/>
      <c r="N221" s="594"/>
      <c r="O221" s="387"/>
    </row>
    <row r="222" spans="1:15" x14ac:dyDescent="0.3">
      <c r="A222" s="561"/>
      <c r="B222" s="400" t="s">
        <v>262</v>
      </c>
      <c r="C222" s="400"/>
      <c r="D222" s="400"/>
      <c r="E222" s="400"/>
      <c r="F222" s="565" t="s">
        <v>222</v>
      </c>
      <c r="G222" s="400"/>
      <c r="H222" s="566" t="s">
        <v>287</v>
      </c>
      <c r="I222" s="401"/>
      <c r="J222" s="401"/>
      <c r="K222" s="401"/>
      <c r="L222" s="401"/>
      <c r="M222" s="401"/>
      <c r="N222" s="594"/>
      <c r="O222" s="387"/>
    </row>
    <row r="223" spans="1:15" x14ac:dyDescent="0.3">
      <c r="A223" s="561"/>
      <c r="B223" s="400" t="s">
        <v>263</v>
      </c>
      <c r="C223" s="400"/>
      <c r="D223" s="400"/>
      <c r="E223" s="400"/>
      <c r="F223" s="565" t="s">
        <v>225</v>
      </c>
      <c r="G223" s="400"/>
      <c r="H223" s="566" t="s">
        <v>288</v>
      </c>
      <c r="I223" s="401"/>
      <c r="J223" s="401"/>
      <c r="K223" s="401"/>
      <c r="L223" s="401"/>
      <c r="M223" s="401"/>
      <c r="N223" s="594"/>
      <c r="O223" s="387"/>
    </row>
    <row r="224" spans="1:15" x14ac:dyDescent="0.3">
      <c r="A224" s="561"/>
      <c r="B224" s="400"/>
      <c r="C224" s="400"/>
      <c r="D224" s="400"/>
      <c r="E224" s="404"/>
      <c r="F224" s="400"/>
      <c r="G224" s="400"/>
      <c r="H224" s="400"/>
      <c r="I224" s="400"/>
      <c r="J224" s="401"/>
      <c r="K224" s="401"/>
      <c r="L224" s="401"/>
      <c r="M224" s="401"/>
      <c r="N224" s="594"/>
      <c r="O224" s="387"/>
    </row>
    <row r="225" spans="1:15" ht="18.600000000000001" thickBot="1" x14ac:dyDescent="0.4">
      <c r="A225" s="561"/>
      <c r="B225" s="567" t="str">
        <f>B172</f>
        <v>PSF1 INVESTOR REPORT QUARTER ENDING OCTOBER 2018</v>
      </c>
      <c r="C225" s="400"/>
      <c r="D225" s="400"/>
      <c r="E225" s="404"/>
      <c r="F225" s="400"/>
      <c r="G225" s="400"/>
      <c r="H225" s="400"/>
      <c r="I225" s="400"/>
      <c r="J225" s="401"/>
      <c r="K225" s="401"/>
      <c r="L225" s="401"/>
      <c r="M225" s="401"/>
      <c r="N225" s="601"/>
      <c r="O225" s="387"/>
    </row>
    <row r="226" spans="1:15" x14ac:dyDescent="0.3">
      <c r="A226" s="568"/>
      <c r="B226" s="568"/>
      <c r="C226" s="568"/>
      <c r="D226" s="568"/>
      <c r="E226" s="568"/>
      <c r="F226" s="568"/>
      <c r="G226" s="568"/>
      <c r="H226" s="568"/>
      <c r="I226" s="568"/>
      <c r="J226" s="568"/>
      <c r="K226" s="568"/>
      <c r="L226" s="568"/>
      <c r="M226" s="568"/>
      <c r="N226" s="568"/>
    </row>
    <row r="228" spans="1:15" x14ac:dyDescent="0.3">
      <c r="I228" s="472"/>
    </row>
  </sheetData>
  <hyperlinks>
    <hyperlink ref="I10" r:id="rId1" xr:uid="{00000000-0004-0000-3600-000000000000}"/>
    <hyperlink ref="K204" r:id="rId2" xr:uid="{00000000-0004-0000-3600-000001000000}"/>
  </hyperlinks>
  <printOptions horizontalCentered="1" verticalCentered="1"/>
  <pageMargins left="0.51181102362204722" right="0.51181102362204722" top="0.51181102362204722" bottom="0.51181102362204722" header="0" footer="0"/>
  <pageSetup scale="45" orientation="landscape" r:id="rId3"/>
  <headerFooter alignWithMargins="0"/>
  <rowBreaks count="3" manualBreakCount="3">
    <brk id="54" max="14" man="1"/>
    <brk id="115" max="14" man="1"/>
    <brk id="172" max="14" man="1"/>
  </rowBreaks>
  <colBreaks count="1" manualBreakCount="1">
    <brk id="14" max="224" man="1"/>
  </col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38954</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4.9106299999999999E-2</v>
      </c>
      <c r="D36" s="27"/>
      <c r="E36" s="41">
        <v>5.4606300000000003E-2</v>
      </c>
      <c r="F36" s="42"/>
      <c r="G36" s="41">
        <v>5.7106299999999999E-2</v>
      </c>
      <c r="H36" s="42"/>
      <c r="I36" s="41"/>
      <c r="J36" s="42"/>
      <c r="K36" s="41"/>
      <c r="L36" s="142"/>
      <c r="M36" s="42">
        <f>SUMPRODUCT(C36:G36,C31:G31)/M31</f>
        <v>5.0596299999999997E-2</v>
      </c>
      <c r="N36" s="27"/>
      <c r="O36" s="6"/>
    </row>
    <row r="37" spans="1:15" ht="15.6" x14ac:dyDescent="0.3">
      <c r="A37" s="26"/>
      <c r="B37" s="27" t="s">
        <v>19</v>
      </c>
      <c r="C37" s="41">
        <v>4.7743800000000003E-2</v>
      </c>
      <c r="D37" s="27"/>
      <c r="E37" s="41">
        <v>5.3243800000000001E-2</v>
      </c>
      <c r="F37" s="42"/>
      <c r="G37" s="41">
        <v>5.5743800000000003E-2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38944</v>
      </c>
      <c r="N47" s="27"/>
      <c r="O47" s="6"/>
    </row>
    <row r="48" spans="1:15" ht="15.6" x14ac:dyDescent="0.3">
      <c r="A48" s="26"/>
      <c r="B48" s="27" t="s">
        <v>26</v>
      </c>
      <c r="C48" s="27"/>
      <c r="D48" s="27"/>
      <c r="E48" s="27"/>
      <c r="F48" s="27"/>
      <c r="G48" s="27"/>
      <c r="H48" s="27"/>
      <c r="I48" s="27"/>
      <c r="J48" s="27">
        <f>M48-K48+1</f>
        <v>89</v>
      </c>
      <c r="K48" s="48">
        <v>38763</v>
      </c>
      <c r="L48" s="49"/>
      <c r="M48" s="48">
        <v>38851</v>
      </c>
      <c r="N48" s="27"/>
      <c r="O48" s="6"/>
    </row>
    <row r="49" spans="1:15" ht="15.6" x14ac:dyDescent="0.3">
      <c r="A49" s="26"/>
      <c r="B49" s="27" t="s">
        <v>27</v>
      </c>
      <c r="C49" s="27"/>
      <c r="D49" s="27"/>
      <c r="E49" s="27"/>
      <c r="F49" s="27"/>
      <c r="G49" s="27"/>
      <c r="H49" s="27"/>
      <c r="I49" s="27"/>
      <c r="J49" s="27">
        <f>M49-K49+1</f>
        <v>92</v>
      </c>
      <c r="K49" s="48">
        <v>38852</v>
      </c>
      <c r="L49" s="49"/>
      <c r="M49" s="48">
        <v>38943</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38930</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209</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262921</v>
      </c>
      <c r="F59" s="37"/>
      <c r="G59" s="37">
        <f>29139+3191+570+480+125</f>
        <v>33505</v>
      </c>
      <c r="H59" s="37"/>
      <c r="I59" s="37">
        <f>50644+408+54</f>
        <v>51106</v>
      </c>
      <c r="J59" s="37"/>
      <c r="K59" s="37">
        <v>0</v>
      </c>
      <c r="L59" s="37"/>
      <c r="M59" s="56">
        <f>E59-G59+I59-K59</f>
        <v>280522</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262921</v>
      </c>
      <c r="F63" s="37"/>
      <c r="G63" s="37">
        <f>SUM(G59:G62)</f>
        <v>33505</v>
      </c>
      <c r="H63" s="37"/>
      <c r="I63" s="37">
        <f>SUM(I59:I62)</f>
        <v>51106</v>
      </c>
      <c r="J63" s="37"/>
      <c r="K63" s="37">
        <f>SUM(K59:K62)</f>
        <v>0</v>
      </c>
      <c r="L63" s="37"/>
      <c r="M63" s="57">
        <f>SUM(M59:M62)</f>
        <v>280522</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v>0</v>
      </c>
      <c r="J73" s="37"/>
      <c r="K73" s="37"/>
      <c r="L73" s="37"/>
      <c r="M73" s="57">
        <f>+E73+I73</f>
        <v>0</v>
      </c>
      <c r="N73" s="27"/>
      <c r="O73" s="6"/>
    </row>
    <row r="74" spans="1:16" ht="15.6" x14ac:dyDescent="0.3">
      <c r="A74" s="26"/>
      <c r="B74" s="27" t="s">
        <v>171</v>
      </c>
      <c r="C74" s="37">
        <v>0</v>
      </c>
      <c r="D74" s="37"/>
      <c r="E74" s="37">
        <v>37079</v>
      </c>
      <c r="F74" s="37"/>
      <c r="G74" s="37"/>
      <c r="H74" s="37"/>
      <c r="I74" s="37"/>
      <c r="J74" s="37"/>
      <c r="K74" s="37"/>
      <c r="L74" s="37"/>
      <c r="M74" s="57">
        <f>K112-M73</f>
        <v>19478</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38929</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+'April 2006'!K112</f>
        <v>37079</v>
      </c>
      <c r="L80" s="27"/>
      <c r="M80" s="56">
        <v>0</v>
      </c>
      <c r="N80" s="27"/>
      <c r="O80" s="6"/>
    </row>
    <row r="81" spans="1:16" ht="15.6" x14ac:dyDescent="0.3">
      <c r="A81" s="26"/>
      <c r="B81" s="27" t="s">
        <v>42</v>
      </c>
      <c r="C81" s="43" t="s">
        <v>207</v>
      </c>
      <c r="D81" s="60" t="s">
        <v>207</v>
      </c>
      <c r="E81" s="61"/>
      <c r="F81" s="27"/>
      <c r="G81" s="27"/>
      <c r="H81" s="27"/>
      <c r="I81" s="27"/>
      <c r="J81" s="27"/>
      <c r="K81" s="37">
        <f>33505-480</f>
        <v>33025</v>
      </c>
      <c r="L81" s="27"/>
      <c r="M81" s="56"/>
      <c r="N81" s="27"/>
      <c r="O81" s="6"/>
    </row>
    <row r="82" spans="1:16" ht="15.6" x14ac:dyDescent="0.3">
      <c r="A82" s="26"/>
      <c r="B82" s="27" t="s">
        <v>204</v>
      </c>
      <c r="C82" s="43"/>
      <c r="D82" s="60"/>
      <c r="E82" s="61"/>
      <c r="F82" s="27"/>
      <c r="G82" s="27"/>
      <c r="H82" s="27"/>
      <c r="I82" s="27"/>
      <c r="J82" s="27"/>
      <c r="K82" s="37"/>
      <c r="L82" s="27"/>
      <c r="M82" s="56">
        <f>8425-3191</f>
        <v>5234</v>
      </c>
      <c r="N82" s="27"/>
      <c r="O82" s="6"/>
    </row>
    <row r="83" spans="1:16" ht="15.6" x14ac:dyDescent="0.3">
      <c r="A83" s="26"/>
      <c r="B83" s="27" t="s">
        <v>205</v>
      </c>
      <c r="C83" s="43"/>
      <c r="D83" s="60"/>
      <c r="E83" s="61"/>
      <c r="F83" s="27"/>
      <c r="G83" s="27"/>
      <c r="H83" s="27"/>
      <c r="I83" s="27"/>
      <c r="J83" s="27"/>
      <c r="K83" s="37"/>
      <c r="L83" s="27"/>
      <c r="M83" s="56">
        <v>1952</v>
      </c>
      <c r="N83" s="27"/>
      <c r="O83" s="6"/>
    </row>
    <row r="84" spans="1:16" ht="15.6" x14ac:dyDescent="0.3">
      <c r="A84" s="26"/>
      <c r="B84" s="27" t="s">
        <v>206</v>
      </c>
      <c r="C84" s="43"/>
      <c r="D84" s="60"/>
      <c r="E84" s="61"/>
      <c r="F84" s="27"/>
      <c r="G84" s="27"/>
      <c r="H84" s="27"/>
      <c r="I84" s="27"/>
      <c r="J84" s="27"/>
      <c r="K84" s="37"/>
      <c r="L84" s="27"/>
      <c r="M84" s="56">
        <v>880</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70104</v>
      </c>
      <c r="L86" s="27"/>
      <c r="M86" s="57">
        <f>SUM(M80:M85)</f>
        <v>8066</v>
      </c>
      <c r="N86" s="27"/>
      <c r="O86" s="6"/>
      <c r="P86" s="15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70104</v>
      </c>
      <c r="L88" s="27"/>
      <c r="M88" s="57">
        <f>M86+M87</f>
        <v>8066</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-211</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-101-71-9</f>
        <v>-181</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-2859</v>
      </c>
      <c r="N94" s="27"/>
      <c r="O94" s="6"/>
    </row>
    <row r="95" spans="1:16" ht="15.6" x14ac:dyDescent="0.3">
      <c r="A95" s="26">
        <v>5</v>
      </c>
      <c r="B95" s="27" t="s">
        <v>52</v>
      </c>
      <c r="C95" s="27"/>
      <c r="D95" s="27"/>
      <c r="E95" s="27"/>
      <c r="F95" s="27"/>
      <c r="G95" s="27"/>
      <c r="H95" s="27"/>
      <c r="I95" s="27"/>
      <c r="J95" s="27"/>
      <c r="K95" s="27"/>
      <c r="L95" s="27"/>
      <c r="M95" s="56">
        <v>-578</v>
      </c>
      <c r="N95" s="27"/>
      <c r="O95" s="6"/>
    </row>
    <row r="96" spans="1:16" ht="15.6" x14ac:dyDescent="0.3">
      <c r="A96" s="26">
        <v>6</v>
      </c>
      <c r="B96" s="27" t="s">
        <v>172</v>
      </c>
      <c r="C96" s="27"/>
      <c r="D96" s="27"/>
      <c r="E96" s="27"/>
      <c r="F96" s="27"/>
      <c r="G96" s="27"/>
      <c r="H96" s="27"/>
      <c r="I96" s="27"/>
      <c r="J96" s="27"/>
      <c r="K96" s="27"/>
      <c r="L96" s="27"/>
      <c r="M96" s="56">
        <v>-388</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480</v>
      </c>
      <c r="L98" s="27"/>
      <c r="M98" s="56">
        <v>-480</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-100</v>
      </c>
      <c r="N102" s="27"/>
      <c r="O102" s="6"/>
    </row>
    <row r="103" spans="1:16" ht="15.6" x14ac:dyDescent="0.3">
      <c r="A103" s="26">
        <v>13</v>
      </c>
      <c r="B103" s="27" t="s">
        <v>195</v>
      </c>
      <c r="C103" s="27"/>
      <c r="D103" s="27"/>
      <c r="E103" s="27"/>
      <c r="F103" s="27"/>
      <c r="G103" s="27"/>
      <c r="H103" s="27"/>
      <c r="I103" s="27"/>
      <c r="J103" s="27"/>
      <c r="K103" s="27"/>
      <c r="L103" s="27"/>
      <c r="M103" s="56">
        <f>-M88-SUM(M90:M102)</f>
        <v>-3262</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-462</v>
      </c>
      <c r="L106" s="37"/>
      <c r="M106" s="56"/>
      <c r="N106" s="27"/>
      <c r="O106" s="6"/>
      <c r="P106" s="117"/>
    </row>
    <row r="107" spans="1:16" ht="15.6" x14ac:dyDescent="0.3">
      <c r="A107" s="26"/>
      <c r="B107" s="27" t="s">
        <v>187</v>
      </c>
      <c r="C107" s="27"/>
      <c r="D107" s="27"/>
      <c r="E107" s="27"/>
      <c r="F107" s="27"/>
      <c r="G107" s="27"/>
      <c r="H107" s="27"/>
      <c r="I107" s="27"/>
      <c r="J107" s="27"/>
      <c r="K107" s="37">
        <v>-50644</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-51106</v>
      </c>
      <c r="L111" s="37"/>
      <c r="M111" s="37">
        <f>SUM(M89:M110)</f>
        <v>-8066</v>
      </c>
      <c r="N111" s="27"/>
      <c r="O111" s="6"/>
    </row>
    <row r="112" spans="1:16" ht="15.6" x14ac:dyDescent="0.3">
      <c r="A112" s="26"/>
      <c r="B112" s="27" t="s">
        <v>61</v>
      </c>
      <c r="C112" s="27"/>
      <c r="D112" s="27"/>
      <c r="E112" s="27"/>
      <c r="F112" s="27"/>
      <c r="G112" s="27"/>
      <c r="H112" s="27"/>
      <c r="I112" s="27"/>
      <c r="J112" s="27"/>
      <c r="K112" s="37">
        <f>K88+K111+K98</f>
        <v>19478</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JULY 2006</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128</v>
      </c>
      <c r="N138" s="27"/>
      <c r="O138" s="6"/>
    </row>
    <row r="139" spans="1:15" ht="15.6" x14ac:dyDescent="0.3">
      <c r="A139" s="26"/>
      <c r="B139" s="27" t="s">
        <v>180</v>
      </c>
      <c r="C139" s="27"/>
      <c r="D139" s="27"/>
      <c r="E139" s="27"/>
      <c r="F139" s="27"/>
      <c r="G139" s="27"/>
      <c r="H139" s="27"/>
      <c r="I139" s="27"/>
      <c r="J139" s="27"/>
      <c r="K139" s="27"/>
      <c r="L139" s="27"/>
      <c r="M139" s="56">
        <v>352</v>
      </c>
      <c r="N139" s="27"/>
      <c r="O139" s="6"/>
    </row>
    <row r="140" spans="1:15" ht="15.6" x14ac:dyDescent="0.3">
      <c r="A140" s="26"/>
      <c r="B140" s="27" t="s">
        <v>77</v>
      </c>
      <c r="C140" s="27"/>
      <c r="D140" s="27"/>
      <c r="E140" s="27"/>
      <c r="F140" s="27"/>
      <c r="G140" s="27"/>
      <c r="H140" s="27"/>
      <c r="I140" s="27"/>
      <c r="J140" s="27"/>
      <c r="K140" s="27"/>
      <c r="L140" s="27"/>
      <c r="M140" s="56">
        <f>M138+M137+M139</f>
        <v>480</v>
      </c>
      <c r="N140" s="27"/>
      <c r="O140" s="6"/>
    </row>
    <row r="141" spans="1:15" ht="15.6" x14ac:dyDescent="0.3">
      <c r="A141" s="26"/>
      <c r="B141" s="27" t="s">
        <v>183</v>
      </c>
      <c r="C141" s="27"/>
      <c r="D141" s="27"/>
      <c r="E141" s="27"/>
      <c r="F141" s="27"/>
      <c r="G141" s="27"/>
      <c r="H141" s="27"/>
      <c r="I141" s="70"/>
      <c r="J141" s="27"/>
      <c r="K141" s="27"/>
      <c r="L141" s="27"/>
      <c r="M141" s="56">
        <f>M98</f>
        <v>-480</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'April 2006'!I155</f>
        <v>2024</v>
      </c>
      <c r="J153" s="27"/>
      <c r="K153" s="56">
        <v>0</v>
      </c>
      <c r="L153" s="27"/>
      <c r="M153" s="56">
        <f>K153+I153</f>
        <v>2024</v>
      </c>
      <c r="N153" s="27"/>
      <c r="O153" s="6"/>
    </row>
    <row r="154" spans="1:16" ht="15.6" x14ac:dyDescent="0.3">
      <c r="A154" s="26"/>
      <c r="B154" s="27" t="s">
        <v>84</v>
      </c>
      <c r="C154" s="27"/>
      <c r="D154" s="27"/>
      <c r="E154" s="27"/>
      <c r="F154" s="27"/>
      <c r="G154" s="27"/>
      <c r="H154" s="27"/>
      <c r="I154" s="37">
        <v>462</v>
      </c>
      <c r="J154" s="27"/>
      <c r="K154" s="27">
        <v>0</v>
      </c>
      <c r="L154" s="27"/>
      <c r="M154" s="56">
        <f>K154+I154</f>
        <v>462</v>
      </c>
      <c r="N154" s="27"/>
      <c r="O154" s="6"/>
    </row>
    <row r="155" spans="1:16" ht="15.6" x14ac:dyDescent="0.3">
      <c r="A155" s="26"/>
      <c r="B155" s="27" t="s">
        <v>85</v>
      </c>
      <c r="C155" s="27"/>
      <c r="D155" s="27"/>
      <c r="E155" s="27"/>
      <c r="F155" s="27"/>
      <c r="G155" s="27"/>
      <c r="H155" s="27"/>
      <c r="I155" s="56">
        <f>I153+I154</f>
        <v>2486</v>
      </c>
      <c r="J155" s="27"/>
      <c r="K155" s="56">
        <f>K154+K153</f>
        <v>0</v>
      </c>
      <c r="L155" s="27"/>
      <c r="M155" s="56">
        <f>K155+I155</f>
        <v>2486</v>
      </c>
      <c r="N155" s="27"/>
      <c r="O155" s="6"/>
    </row>
    <row r="156" spans="1:16" ht="15.6" x14ac:dyDescent="0.3">
      <c r="A156" s="26"/>
      <c r="B156" s="27" t="s">
        <v>86</v>
      </c>
      <c r="C156" s="27"/>
      <c r="D156" s="27"/>
      <c r="E156" s="27"/>
      <c r="F156" s="27"/>
      <c r="G156" s="27"/>
      <c r="H156" s="27"/>
      <c r="I156" s="56">
        <f>I152-I155-K155</f>
        <v>12514</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2.6834557537600561</v>
      </c>
      <c r="N160" s="27" t="s">
        <v>145</v>
      </c>
      <c r="O160" s="6"/>
    </row>
    <row r="161" spans="1:15" ht="15.6" x14ac:dyDescent="0.3">
      <c r="A161" s="26"/>
      <c r="B161" s="27" t="s">
        <v>89</v>
      </c>
      <c r="C161" s="27"/>
      <c r="D161" s="27"/>
      <c r="E161" s="27"/>
      <c r="F161" s="27"/>
      <c r="G161" s="27"/>
      <c r="H161" s="27"/>
      <c r="I161" s="27"/>
      <c r="J161" s="27"/>
      <c r="K161" s="27"/>
      <c r="L161" s="27"/>
      <c r="M161" s="73">
        <v>2.54</v>
      </c>
      <c r="N161" s="27" t="s">
        <v>145</v>
      </c>
      <c r="O161" s="6"/>
    </row>
    <row r="162" spans="1:15" ht="15.6" x14ac:dyDescent="0.3">
      <c r="A162" s="26"/>
      <c r="B162" s="27" t="s">
        <v>90</v>
      </c>
      <c r="C162" s="27"/>
      <c r="D162" s="27"/>
      <c r="E162" s="27"/>
      <c r="F162" s="27"/>
      <c r="G162" s="27"/>
      <c r="H162" s="27"/>
      <c r="I162" s="27"/>
      <c r="J162" s="27"/>
      <c r="K162" s="27"/>
      <c r="L162" s="27"/>
      <c r="M162" s="63">
        <f>(M88+M90+M91+M92+M93+M94)/-M95</f>
        <v>8.3269896193771622</v>
      </c>
      <c r="N162" s="27" t="s">
        <v>145</v>
      </c>
      <c r="O162" s="6"/>
    </row>
    <row r="163" spans="1:15" ht="15.6" x14ac:dyDescent="0.3">
      <c r="A163" s="26"/>
      <c r="B163" s="27" t="s">
        <v>91</v>
      </c>
      <c r="C163" s="27"/>
      <c r="D163" s="27"/>
      <c r="E163" s="27"/>
      <c r="F163" s="27"/>
      <c r="G163" s="27"/>
      <c r="H163" s="27"/>
      <c r="I163" s="27"/>
      <c r="J163" s="27"/>
      <c r="K163" s="27"/>
      <c r="L163" s="27"/>
      <c r="M163" s="74">
        <v>7.6</v>
      </c>
      <c r="N163" s="27" t="s">
        <v>145</v>
      </c>
      <c r="O163" s="6"/>
    </row>
    <row r="164" spans="1:15" ht="15.6" x14ac:dyDescent="0.3">
      <c r="A164" s="26"/>
      <c r="B164" s="27" t="s">
        <v>181</v>
      </c>
      <c r="C164" s="27"/>
      <c r="D164" s="27"/>
      <c r="E164" s="27"/>
      <c r="F164" s="27"/>
      <c r="G164" s="27"/>
      <c r="H164" s="27"/>
      <c r="I164" s="27"/>
      <c r="J164" s="27"/>
      <c r="K164" s="27"/>
      <c r="L164" s="27"/>
      <c r="M164" s="63">
        <f>(M88+M90+M91+M92+M93+M94+M95)/-M96</f>
        <v>10.914948453608247</v>
      </c>
      <c r="N164" s="27" t="s">
        <v>145</v>
      </c>
      <c r="O164" s="6"/>
    </row>
    <row r="165" spans="1:15" ht="15.6" x14ac:dyDescent="0.3">
      <c r="A165" s="26"/>
      <c r="B165" s="27" t="s">
        <v>182</v>
      </c>
      <c r="C165" s="27"/>
      <c r="D165" s="27"/>
      <c r="E165" s="27"/>
      <c r="F165" s="27"/>
      <c r="G165" s="27"/>
      <c r="H165" s="27"/>
      <c r="I165" s="27"/>
      <c r="J165" s="27"/>
      <c r="K165" s="27"/>
      <c r="L165" s="27"/>
      <c r="M165" s="74">
        <v>9.82</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JULY 2006</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38929</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8.6300000000000002E-2</v>
      </c>
      <c r="L175" s="27"/>
      <c r="M175" s="27"/>
      <c r="N175" s="27"/>
      <c r="O175" s="6"/>
    </row>
    <row r="176" spans="1:15" ht="15.6" x14ac:dyDescent="0.3">
      <c r="A176" s="83"/>
      <c r="B176" s="84" t="s">
        <v>97</v>
      </c>
      <c r="C176" s="85"/>
      <c r="D176" s="85"/>
      <c r="E176" s="85"/>
      <c r="F176" s="85"/>
      <c r="G176" s="85"/>
      <c r="H176" s="70"/>
      <c r="I176" s="70"/>
      <c r="J176" s="70"/>
      <c r="K176" s="86">
        <f>M36</f>
        <v>5.0596299999999997E-2</v>
      </c>
      <c r="L176" s="27"/>
      <c r="M176" s="27"/>
      <c r="N176" s="27"/>
      <c r="O176" s="6"/>
    </row>
    <row r="177" spans="1:15" ht="15.6" x14ac:dyDescent="0.3">
      <c r="A177" s="83"/>
      <c r="B177" s="84" t="s">
        <v>98</v>
      </c>
      <c r="C177" s="85"/>
      <c r="D177" s="85"/>
      <c r="E177" s="85"/>
      <c r="F177" s="85"/>
      <c r="G177" s="85"/>
      <c r="H177" s="70"/>
      <c r="I177" s="70"/>
      <c r="J177" s="70"/>
      <c r="K177" s="86">
        <f>K175-K176</f>
        <v>3.5703700000000005E-2</v>
      </c>
      <c r="L177" s="27"/>
      <c r="M177" s="27"/>
      <c r="N177" s="27"/>
      <c r="O177" s="6"/>
    </row>
    <row r="178" spans="1:15" ht="15.6" x14ac:dyDescent="0.3">
      <c r="A178" s="83"/>
      <c r="B178" s="84" t="s">
        <v>211</v>
      </c>
      <c r="C178" s="85"/>
      <c r="D178" s="85"/>
      <c r="E178" s="85"/>
      <c r="F178" s="85"/>
      <c r="G178" s="85"/>
      <c r="H178" s="70"/>
      <c r="I178" s="70"/>
      <c r="J178" s="70"/>
      <c r="K178" s="86">
        <f>(+M88+M90)/E59</f>
        <v>2.9875894280030884E-2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15.81</v>
      </c>
      <c r="L183" s="27" t="s">
        <v>139</v>
      </c>
      <c r="M183" s="27"/>
      <c r="N183" s="27"/>
      <c r="O183" s="6"/>
    </row>
    <row r="184" spans="1:15" ht="15.6" x14ac:dyDescent="0.3">
      <c r="A184" s="83"/>
      <c r="B184" s="84" t="s">
        <v>103</v>
      </c>
      <c r="C184" s="85"/>
      <c r="D184" s="85"/>
      <c r="E184" s="85"/>
      <c r="F184" s="85"/>
      <c r="G184" s="85"/>
      <c r="H184" s="70"/>
      <c r="I184" s="70"/>
      <c r="J184" s="70"/>
      <c r="K184" s="138">
        <f>K81/E59</f>
        <v>0.12560807238676255</v>
      </c>
      <c r="L184" s="27"/>
      <c r="M184" s="27"/>
      <c r="N184" s="27"/>
      <c r="O184" s="6"/>
    </row>
    <row r="185" spans="1:15" ht="15.6" x14ac:dyDescent="0.3">
      <c r="A185" s="83"/>
      <c r="B185" s="84" t="s">
        <v>104</v>
      </c>
      <c r="C185" s="85"/>
      <c r="D185" s="85"/>
      <c r="E185" s="85"/>
      <c r="F185" s="85"/>
      <c r="G185" s="85"/>
      <c r="H185" s="70"/>
      <c r="I185" s="70"/>
      <c r="J185" s="70"/>
      <c r="K185" s="86">
        <v>0.3906</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645</v>
      </c>
      <c r="K188" s="93">
        <v>19180</v>
      </c>
      <c r="L188" s="27"/>
      <c r="M188" s="87"/>
      <c r="N188" s="94"/>
      <c r="O188" s="6"/>
    </row>
    <row r="189" spans="1:15" ht="15.6" x14ac:dyDescent="0.3">
      <c r="A189" s="92"/>
      <c r="B189" s="84" t="s">
        <v>196</v>
      </c>
      <c r="C189" s="57"/>
      <c r="D189" s="57"/>
      <c r="E189" s="57"/>
      <c r="F189" s="57"/>
      <c r="G189" s="27"/>
      <c r="H189" s="27"/>
      <c r="I189" s="27"/>
      <c r="J189" s="33">
        <v>10</v>
      </c>
      <c r="K189" s="93">
        <v>547</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51106</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480</v>
      </c>
      <c r="L193" s="27"/>
      <c r="M193" s="87"/>
      <c r="N193" s="96"/>
      <c r="O193" s="6"/>
    </row>
    <row r="194" spans="1:15" ht="15.6" x14ac:dyDescent="0.3">
      <c r="A194" s="92"/>
      <c r="B194" s="84" t="s">
        <v>111</v>
      </c>
      <c r="C194" s="57"/>
      <c r="D194" s="57"/>
      <c r="E194" s="57"/>
      <c r="F194" s="57"/>
      <c r="G194" s="57"/>
      <c r="H194" s="27"/>
      <c r="I194" s="27"/>
      <c r="J194" s="27"/>
      <c r="K194" s="93">
        <f>+'April 2006'!K194+'July 2006'!K193</f>
        <v>3226</v>
      </c>
      <c r="L194" s="27"/>
      <c r="M194" s="87"/>
      <c r="N194" s="96"/>
      <c r="O194" s="6"/>
    </row>
    <row r="195" spans="1:15" ht="15.6" x14ac:dyDescent="0.3">
      <c r="A195" s="92"/>
      <c r="B195" s="84" t="s">
        <v>112</v>
      </c>
      <c r="C195" s="57"/>
      <c r="D195" s="57"/>
      <c r="E195" s="57"/>
      <c r="F195" s="57"/>
      <c r="G195" s="57"/>
      <c r="H195" s="27"/>
      <c r="I195" s="27"/>
      <c r="J195" s="27"/>
      <c r="K195" s="93">
        <f>+'April 2006'!K195+329</f>
        <v>910</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18</v>
      </c>
      <c r="L197" s="27"/>
      <c r="M197" s="87"/>
      <c r="N197" s="96"/>
      <c r="O197" s="6"/>
    </row>
    <row r="198" spans="1:15" ht="15.6" x14ac:dyDescent="0.3">
      <c r="A198" s="92"/>
      <c r="B198" s="84" t="s">
        <v>113</v>
      </c>
      <c r="C198" s="57"/>
      <c r="D198" s="57"/>
      <c r="E198" s="97"/>
      <c r="F198" s="97"/>
      <c r="G198" s="98"/>
      <c r="H198" s="27"/>
      <c r="I198" s="27"/>
      <c r="J198" s="27"/>
      <c r="K198" s="68">
        <v>12.91</v>
      </c>
      <c r="L198" s="27"/>
      <c r="M198" s="87"/>
      <c r="N198" s="96"/>
      <c r="O198" s="6"/>
    </row>
    <row r="199" spans="1:15" ht="15.6" x14ac:dyDescent="0.3">
      <c r="A199" s="92"/>
      <c r="B199" s="84" t="s">
        <v>114</v>
      </c>
      <c r="C199" s="57"/>
      <c r="D199" s="57"/>
      <c r="E199" s="97"/>
      <c r="F199" s="97"/>
      <c r="G199" s="98"/>
      <c r="H199" s="27"/>
      <c r="I199" s="27"/>
      <c r="J199" s="27"/>
      <c r="K199" s="68">
        <v>5.25</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9753</v>
      </c>
      <c r="J204" s="103">
        <f>I204/I213</f>
        <v>0.93796884016156956</v>
      </c>
      <c r="K204" s="56">
        <v>261342</v>
      </c>
      <c r="L204" s="136">
        <f>K204/K213</f>
        <v>0.93162746593850032</v>
      </c>
      <c r="M204" s="87"/>
      <c r="N204" s="96"/>
      <c r="O204" s="6"/>
    </row>
    <row r="205" spans="1:15" ht="15.6" x14ac:dyDescent="0.3">
      <c r="A205" s="26"/>
      <c r="B205" s="57" t="s">
        <v>117</v>
      </c>
      <c r="C205" s="102"/>
      <c r="D205" s="102"/>
      <c r="E205" s="57"/>
      <c r="F205" s="102"/>
      <c r="G205" s="27"/>
      <c r="H205" s="103"/>
      <c r="I205" s="57">
        <v>182</v>
      </c>
      <c r="J205" s="103">
        <f>I205/I213</f>
        <v>1.7503366031929216E-2</v>
      </c>
      <c r="K205" s="56">
        <v>5363</v>
      </c>
      <c r="L205" s="136">
        <f>K205/K213</f>
        <v>1.9117930144516293E-2</v>
      </c>
      <c r="M205" s="87"/>
      <c r="N205" s="96"/>
      <c r="O205" s="6"/>
    </row>
    <row r="206" spans="1:15" ht="15.6" x14ac:dyDescent="0.3">
      <c r="A206" s="26"/>
      <c r="B206" s="57" t="s">
        <v>118</v>
      </c>
      <c r="C206" s="102"/>
      <c r="D206" s="102"/>
      <c r="E206" s="57"/>
      <c r="F206" s="102"/>
      <c r="G206" s="27"/>
      <c r="H206" s="103"/>
      <c r="I206" s="57">
        <v>145</v>
      </c>
      <c r="J206" s="103">
        <f>I206/I213</f>
        <v>1.3944989421042508E-2</v>
      </c>
      <c r="K206" s="56">
        <v>4115</v>
      </c>
      <c r="L206" s="136">
        <f>K206/K213</f>
        <v>1.4669081212881699E-2</v>
      </c>
      <c r="M206" s="87"/>
      <c r="N206" s="96"/>
      <c r="O206" s="6"/>
    </row>
    <row r="207" spans="1:15" ht="15.6" x14ac:dyDescent="0.3">
      <c r="A207" s="26"/>
      <c r="B207" s="57" t="s">
        <v>167</v>
      </c>
      <c r="C207" s="102"/>
      <c r="D207" s="102"/>
      <c r="E207" s="57"/>
      <c r="F207" s="102"/>
      <c r="G207" s="27"/>
      <c r="H207" s="103"/>
      <c r="I207" s="57">
        <v>97</v>
      </c>
      <c r="J207" s="103">
        <f>I207/I213</f>
        <v>9.3287170609732649E-3</v>
      </c>
      <c r="K207" s="56">
        <v>2761</v>
      </c>
      <c r="L207" s="136">
        <f>K207/K213</f>
        <v>9.842365304681985E-3</v>
      </c>
      <c r="M207" s="87"/>
      <c r="N207" s="96"/>
      <c r="O207" s="6"/>
    </row>
    <row r="208" spans="1:15" ht="15.6" x14ac:dyDescent="0.3">
      <c r="A208" s="26"/>
      <c r="B208" s="57" t="s">
        <v>168</v>
      </c>
      <c r="C208" s="102"/>
      <c r="D208" s="102"/>
      <c r="E208" s="57"/>
      <c r="F208" s="102"/>
      <c r="G208" s="27"/>
      <c r="H208" s="103"/>
      <c r="I208" s="57">
        <v>56</v>
      </c>
      <c r="J208" s="103">
        <f>I208/I213</f>
        <v>5.3856510867474512E-3</v>
      </c>
      <c r="K208" s="56">
        <v>1702</v>
      </c>
      <c r="L208" s="136">
        <f>K208/K213</f>
        <v>6.0672603218285912E-3</v>
      </c>
      <c r="M208" s="87"/>
      <c r="N208" s="96"/>
      <c r="O208" s="6"/>
    </row>
    <row r="209" spans="1:15" ht="15.6" x14ac:dyDescent="0.3">
      <c r="A209" s="26"/>
      <c r="B209" s="57" t="s">
        <v>169</v>
      </c>
      <c r="C209" s="102"/>
      <c r="D209" s="102"/>
      <c r="E209" s="57"/>
      <c r="F209" s="102"/>
      <c r="G209" s="27"/>
      <c r="H209" s="103"/>
      <c r="I209" s="57">
        <v>41</v>
      </c>
      <c r="J209" s="103">
        <f>I209/I213</f>
        <v>3.9430659742258128E-3</v>
      </c>
      <c r="K209" s="56">
        <v>1198</v>
      </c>
      <c r="L209" s="136">
        <f>K209/K213</f>
        <v>4.2706097917453887E-3</v>
      </c>
      <c r="M209" s="87"/>
      <c r="N209" s="96"/>
      <c r="O209" s="6"/>
    </row>
    <row r="210" spans="1:15" ht="15.6" x14ac:dyDescent="0.3">
      <c r="A210" s="26"/>
      <c r="B210" s="57" t="s">
        <v>176</v>
      </c>
      <c r="C210" s="102"/>
      <c r="D210" s="102"/>
      <c r="E210" s="57"/>
      <c r="F210" s="102"/>
      <c r="G210" s="27"/>
      <c r="H210" s="103"/>
      <c r="I210" s="57">
        <v>89</v>
      </c>
      <c r="J210" s="103">
        <f>I210/I213</f>
        <v>8.5593383342950566E-3</v>
      </c>
      <c r="K210" s="56">
        <v>2742</v>
      </c>
      <c r="L210" s="136">
        <f>K210/K213</f>
        <v>9.7746344315240881E-3</v>
      </c>
      <c r="M210" s="87"/>
      <c r="N210" s="96"/>
      <c r="O210" s="6"/>
    </row>
    <row r="211" spans="1:15" ht="15.6" x14ac:dyDescent="0.3">
      <c r="A211" s="26"/>
      <c r="B211" s="57" t="s">
        <v>202</v>
      </c>
      <c r="C211" s="102"/>
      <c r="D211" s="102"/>
      <c r="E211" s="57"/>
      <c r="F211" s="102"/>
      <c r="G211" s="27"/>
      <c r="H211" s="103"/>
      <c r="I211" s="57">
        <v>35</v>
      </c>
      <c r="J211" s="103">
        <f>+I211/I213</f>
        <v>3.366031929217157E-3</v>
      </c>
      <c r="K211" s="56">
        <v>1299</v>
      </c>
      <c r="L211" s="136">
        <f>+K211/K213</f>
        <v>4.6306528543215864E-3</v>
      </c>
      <c r="M211" s="87"/>
      <c r="N211" s="94"/>
      <c r="O211" s="6"/>
    </row>
    <row r="212" spans="1:15" ht="15.6" x14ac:dyDescent="0.3">
      <c r="A212" s="26"/>
      <c r="B212" s="57" t="s">
        <v>170</v>
      </c>
      <c r="C212" s="102"/>
      <c r="D212" s="102"/>
      <c r="E212" s="57"/>
      <c r="F212" s="102"/>
      <c r="G212" s="2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27"/>
      <c r="H213" s="27"/>
      <c r="I213" s="37">
        <f>SUM(I204:I212)</f>
        <v>10398</v>
      </c>
      <c r="J213" s="136">
        <f>SUM(J204:J212)</f>
        <v>1</v>
      </c>
      <c r="K213" s="56">
        <f>SUM(K204:K212)</f>
        <v>280522</v>
      </c>
      <c r="L213" s="136">
        <f>SUM(L204:L212)</f>
        <v>0.99999999999999989</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10398</v>
      </c>
      <c r="J215" s="136"/>
      <c r="K215" s="56">
        <f>+K213+K214</f>
        <v>280522</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JULY 2006</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500-000000000000}"/>
    <hyperlink ref="K201" r:id="rId2" xr:uid="{00000000-0004-0000-05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39045</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5.1700000000000003E-2</v>
      </c>
      <c r="D36" s="27"/>
      <c r="E36" s="41">
        <v>5.7200000000000001E-2</v>
      </c>
      <c r="F36" s="42"/>
      <c r="G36" s="41">
        <v>5.9700000000000003E-2</v>
      </c>
      <c r="H36" s="42"/>
      <c r="I36" s="41"/>
      <c r="J36" s="42"/>
      <c r="K36" s="41"/>
      <c r="L36" s="142"/>
      <c r="M36" s="42">
        <f>SUMPRODUCT(C36:G36,C31:G31)/M31</f>
        <v>5.3190000000000001E-2</v>
      </c>
      <c r="N36" s="27"/>
      <c r="O36" s="6"/>
    </row>
    <row r="37" spans="1:15" ht="15.6" x14ac:dyDescent="0.3">
      <c r="A37" s="26"/>
      <c r="B37" s="27" t="s">
        <v>19</v>
      </c>
      <c r="C37" s="41">
        <v>4.9106299999999999E-2</v>
      </c>
      <c r="D37" s="27"/>
      <c r="E37" s="41">
        <v>5.4606300000000003E-2</v>
      </c>
      <c r="F37" s="42"/>
      <c r="G37" s="41">
        <v>5.7106299999999999E-2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39036</v>
      </c>
      <c r="N47" s="27"/>
      <c r="O47" s="6"/>
    </row>
    <row r="48" spans="1:15" ht="15.6" x14ac:dyDescent="0.3">
      <c r="A48" s="26"/>
      <c r="B48" s="27" t="s">
        <v>26</v>
      </c>
      <c r="C48" s="27"/>
      <c r="D48" s="27"/>
      <c r="E48" s="27"/>
      <c r="F48" s="27"/>
      <c r="G48" s="27"/>
      <c r="H48" s="27"/>
      <c r="I48" s="27"/>
      <c r="J48" s="27">
        <f>M48-K48+1</f>
        <v>92</v>
      </c>
      <c r="K48" s="48">
        <v>38852</v>
      </c>
      <c r="L48" s="49"/>
      <c r="M48" s="48">
        <v>38943</v>
      </c>
      <c r="N48" s="27"/>
      <c r="O48" s="6"/>
    </row>
    <row r="49" spans="1:15" ht="15.6" x14ac:dyDescent="0.3">
      <c r="A49" s="26"/>
      <c r="B49" s="27" t="s">
        <v>27</v>
      </c>
      <c r="C49" s="27"/>
      <c r="D49" s="27"/>
      <c r="E49" s="27"/>
      <c r="F49" s="27"/>
      <c r="G49" s="27"/>
      <c r="H49" s="27"/>
      <c r="I49" s="27"/>
      <c r="J49" s="27">
        <f>M49-K49+1</f>
        <v>92</v>
      </c>
      <c r="K49" s="48">
        <v>38944</v>
      </c>
      <c r="L49" s="49"/>
      <c r="M49" s="48">
        <v>39035</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39022</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210</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280522</v>
      </c>
      <c r="F59" s="37"/>
      <c r="G59" s="37">
        <f>29033+3271+491+407+4</f>
        <v>33206</v>
      </c>
      <c r="H59" s="37"/>
      <c r="I59" s="37">
        <f>38751+427+56</f>
        <v>39234</v>
      </c>
      <c r="J59" s="37"/>
      <c r="K59" s="37">
        <v>0</v>
      </c>
      <c r="L59" s="37"/>
      <c r="M59" s="56">
        <f>E59-G59+I59-K59</f>
        <v>286550</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280522</v>
      </c>
      <c r="F63" s="37"/>
      <c r="G63" s="37">
        <f>SUM(G59:G62)</f>
        <v>33206</v>
      </c>
      <c r="H63" s="37"/>
      <c r="I63" s="37">
        <f>SUM(I59:I62)</f>
        <v>39234</v>
      </c>
      <c r="J63" s="37"/>
      <c r="K63" s="37">
        <f>SUM(K59:K62)</f>
        <v>0</v>
      </c>
      <c r="L63" s="37"/>
      <c r="M63" s="57">
        <f>SUM(M59:M62)</f>
        <v>286550</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v>0</v>
      </c>
      <c r="J73" s="37"/>
      <c r="K73" s="37"/>
      <c r="L73" s="37"/>
      <c r="M73" s="57">
        <f>+E73+I73</f>
        <v>0</v>
      </c>
      <c r="N73" s="27"/>
      <c r="O73" s="6"/>
    </row>
    <row r="74" spans="1:16" ht="15.6" x14ac:dyDescent="0.3">
      <c r="A74" s="26"/>
      <c r="B74" s="27" t="s">
        <v>171</v>
      </c>
      <c r="C74" s="37">
        <v>0</v>
      </c>
      <c r="D74" s="37"/>
      <c r="E74" s="37">
        <v>19478</v>
      </c>
      <c r="F74" s="37"/>
      <c r="G74" s="37"/>
      <c r="H74" s="37"/>
      <c r="I74" s="37"/>
      <c r="J74" s="37"/>
      <c r="K74" s="37"/>
      <c r="L74" s="37"/>
      <c r="M74" s="57">
        <f>K112-M73</f>
        <v>13450</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39021</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+'July 2006'!K112</f>
        <v>19478</v>
      </c>
      <c r="L80" s="27"/>
      <c r="M80" s="56">
        <v>0</v>
      </c>
      <c r="N80" s="27"/>
      <c r="O80" s="6"/>
    </row>
    <row r="81" spans="1:16" ht="15.6" x14ac:dyDescent="0.3">
      <c r="A81" s="26"/>
      <c r="B81" s="27" t="s">
        <v>42</v>
      </c>
      <c r="C81" s="43" t="s">
        <v>207</v>
      </c>
      <c r="D81" s="60" t="s">
        <v>207</v>
      </c>
      <c r="E81" s="61"/>
      <c r="F81" s="27"/>
      <c r="G81" s="27"/>
      <c r="H81" s="27"/>
      <c r="I81" s="27"/>
      <c r="J81" s="27"/>
      <c r="K81" s="37">
        <f>33206-407</f>
        <v>32799</v>
      </c>
      <c r="L81" s="27"/>
      <c r="M81" s="56"/>
      <c r="N81" s="27"/>
      <c r="O81" s="6"/>
    </row>
    <row r="82" spans="1:16" ht="15.6" x14ac:dyDescent="0.3">
      <c r="A82" s="26"/>
      <c r="B82" s="27" t="s">
        <v>204</v>
      </c>
      <c r="C82" s="43"/>
      <c r="D82" s="60"/>
      <c r="E82" s="61"/>
      <c r="F82" s="27"/>
      <c r="G82" s="27"/>
      <c r="H82" s="27"/>
      <c r="I82" s="27"/>
      <c r="J82" s="27"/>
      <c r="K82" s="37"/>
      <c r="L82" s="27"/>
      <c r="M82" s="56">
        <f>8918-3271</f>
        <v>5647</v>
      </c>
      <c r="N82" s="27"/>
      <c r="O82" s="6"/>
    </row>
    <row r="83" spans="1:16" ht="15.6" x14ac:dyDescent="0.3">
      <c r="A83" s="26"/>
      <c r="B83" s="27" t="s">
        <v>205</v>
      </c>
      <c r="C83" s="43"/>
      <c r="D83" s="60"/>
      <c r="E83" s="61"/>
      <c r="F83" s="27"/>
      <c r="G83" s="27"/>
      <c r="H83" s="27"/>
      <c r="I83" s="27"/>
      <c r="J83" s="27"/>
      <c r="K83" s="37"/>
      <c r="L83" s="27"/>
      <c r="M83" s="56">
        <v>1809</v>
      </c>
      <c r="N83" s="27"/>
      <c r="O83" s="6"/>
    </row>
    <row r="84" spans="1:16" ht="15.6" x14ac:dyDescent="0.3">
      <c r="A84" s="26"/>
      <c r="B84" s="27" t="s">
        <v>206</v>
      </c>
      <c r="C84" s="43"/>
      <c r="D84" s="60"/>
      <c r="E84" s="61"/>
      <c r="F84" s="27"/>
      <c r="G84" s="27"/>
      <c r="H84" s="27"/>
      <c r="I84" s="27"/>
      <c r="J84" s="27"/>
      <c r="K84" s="37"/>
      <c r="L84" s="27"/>
      <c r="M84" s="56">
        <v>482</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52277</v>
      </c>
      <c r="L86" s="27"/>
      <c r="M86" s="57">
        <f>SUM(M80:M85)</f>
        <v>7938</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52277</v>
      </c>
      <c r="L88" s="27"/>
      <c r="M88" s="57">
        <f>M86+M87</f>
        <v>7938</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-146</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-107-74-9</f>
        <v>-190</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-3010</v>
      </c>
      <c r="N94" s="27"/>
      <c r="O94" s="6"/>
    </row>
    <row r="95" spans="1:16" ht="15.6" x14ac:dyDescent="0.3">
      <c r="A95" s="26">
        <v>5</v>
      </c>
      <c r="B95" s="27" t="s">
        <v>52</v>
      </c>
      <c r="C95" s="27"/>
      <c r="D95" s="27"/>
      <c r="E95" s="27"/>
      <c r="F95" s="27"/>
      <c r="G95" s="27"/>
      <c r="H95" s="27"/>
      <c r="I95" s="27"/>
      <c r="J95" s="27"/>
      <c r="K95" s="27"/>
      <c r="L95" s="27"/>
      <c r="M95" s="56">
        <v>-606</v>
      </c>
      <c r="N95" s="27"/>
      <c r="O95" s="6"/>
    </row>
    <row r="96" spans="1:16" ht="15.6" x14ac:dyDescent="0.3">
      <c r="A96" s="26">
        <v>6</v>
      </c>
      <c r="B96" s="27" t="s">
        <v>172</v>
      </c>
      <c r="C96" s="27"/>
      <c r="D96" s="27"/>
      <c r="E96" s="27"/>
      <c r="F96" s="27"/>
      <c r="G96" s="27"/>
      <c r="H96" s="27"/>
      <c r="I96" s="27"/>
      <c r="J96" s="27"/>
      <c r="K96" s="27"/>
      <c r="L96" s="27"/>
      <c r="M96" s="56">
        <v>-406</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407</v>
      </c>
      <c r="L98" s="27"/>
      <c r="M98" s="56">
        <v>-407</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-107</v>
      </c>
      <c r="N102" s="27"/>
      <c r="O102" s="6"/>
    </row>
    <row r="103" spans="1:16" ht="15.6" x14ac:dyDescent="0.3">
      <c r="A103" s="26">
        <v>13</v>
      </c>
      <c r="B103" s="27" t="s">
        <v>195</v>
      </c>
      <c r="C103" s="27"/>
      <c r="D103" s="27"/>
      <c r="E103" s="27"/>
      <c r="F103" s="27"/>
      <c r="G103" s="27"/>
      <c r="H103" s="27"/>
      <c r="I103" s="27"/>
      <c r="J103" s="27"/>
      <c r="K103" s="27"/>
      <c r="L103" s="27"/>
      <c r="M103" s="56">
        <f>-M88-SUM(M90:M102)</f>
        <v>-3059</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-483</v>
      </c>
      <c r="L106" s="37"/>
      <c r="M106" s="56"/>
      <c r="N106" s="27"/>
      <c r="O106" s="6"/>
      <c r="P106" s="117"/>
    </row>
    <row r="107" spans="1:16" ht="15.6" x14ac:dyDescent="0.3">
      <c r="A107" s="26"/>
      <c r="B107" s="27" t="s">
        <v>187</v>
      </c>
      <c r="C107" s="27"/>
      <c r="D107" s="27"/>
      <c r="E107" s="27"/>
      <c r="F107" s="27"/>
      <c r="G107" s="27"/>
      <c r="H107" s="27"/>
      <c r="I107" s="27"/>
      <c r="J107" s="27"/>
      <c r="K107" s="37">
        <v>-38751</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-39234</v>
      </c>
      <c r="L111" s="37"/>
      <c r="M111" s="37">
        <f>SUM(M89:M110)</f>
        <v>-7938</v>
      </c>
      <c r="N111" s="27"/>
      <c r="O111" s="6"/>
    </row>
    <row r="112" spans="1:16" ht="15.6" x14ac:dyDescent="0.3">
      <c r="A112" s="26"/>
      <c r="B112" s="27" t="s">
        <v>61</v>
      </c>
      <c r="C112" s="27"/>
      <c r="D112" s="27"/>
      <c r="E112" s="27"/>
      <c r="F112" s="27"/>
      <c r="G112" s="27"/>
      <c r="H112" s="27"/>
      <c r="I112" s="27"/>
      <c r="J112" s="27"/>
      <c r="K112" s="37">
        <f>K88+K111+K98</f>
        <v>13450</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OCTOBER 2006</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49</v>
      </c>
      <c r="N138" s="27"/>
      <c r="O138" s="6"/>
    </row>
    <row r="139" spans="1:15" ht="15.6" x14ac:dyDescent="0.3">
      <c r="A139" s="26"/>
      <c r="B139" s="27" t="s">
        <v>180</v>
      </c>
      <c r="C139" s="27"/>
      <c r="D139" s="27"/>
      <c r="E139" s="27"/>
      <c r="F139" s="27"/>
      <c r="G139" s="27"/>
      <c r="H139" s="27"/>
      <c r="I139" s="27"/>
      <c r="J139" s="27"/>
      <c r="K139" s="27"/>
      <c r="L139" s="27"/>
      <c r="M139" s="56">
        <v>358</v>
      </c>
      <c r="N139" s="27"/>
      <c r="O139" s="6"/>
    </row>
    <row r="140" spans="1:15" ht="15.6" x14ac:dyDescent="0.3">
      <c r="A140" s="26"/>
      <c r="B140" s="27" t="s">
        <v>77</v>
      </c>
      <c r="C140" s="27"/>
      <c r="D140" s="27"/>
      <c r="E140" s="27"/>
      <c r="F140" s="27"/>
      <c r="G140" s="27"/>
      <c r="H140" s="27"/>
      <c r="I140" s="27"/>
      <c r="J140" s="27"/>
      <c r="K140" s="27"/>
      <c r="L140" s="27"/>
      <c r="M140" s="56">
        <f>M138+M137+M139</f>
        <v>407</v>
      </c>
      <c r="N140" s="27"/>
      <c r="O140" s="6"/>
    </row>
    <row r="141" spans="1:15" ht="15.6" x14ac:dyDescent="0.3">
      <c r="A141" s="26"/>
      <c r="B141" s="27" t="s">
        <v>183</v>
      </c>
      <c r="C141" s="27"/>
      <c r="D141" s="27"/>
      <c r="E141" s="27"/>
      <c r="F141" s="27"/>
      <c r="G141" s="27"/>
      <c r="H141" s="27"/>
      <c r="I141" s="70"/>
      <c r="J141" s="27"/>
      <c r="K141" s="27"/>
      <c r="L141" s="27"/>
      <c r="M141" s="56">
        <f>M98</f>
        <v>-407</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'July 2006'!I155</f>
        <v>2486</v>
      </c>
      <c r="J153" s="27"/>
      <c r="K153" s="56">
        <v>0</v>
      </c>
      <c r="L153" s="27"/>
      <c r="M153" s="56">
        <f>K153+I153</f>
        <v>2486</v>
      </c>
      <c r="N153" s="27"/>
      <c r="O153" s="6"/>
    </row>
    <row r="154" spans="1:16" ht="15.6" x14ac:dyDescent="0.3">
      <c r="A154" s="26"/>
      <c r="B154" s="27" t="s">
        <v>84</v>
      </c>
      <c r="C154" s="27"/>
      <c r="D154" s="27"/>
      <c r="E154" s="27"/>
      <c r="F154" s="27"/>
      <c r="G154" s="27"/>
      <c r="H154" s="27"/>
      <c r="I154" s="37">
        <v>483</v>
      </c>
      <c r="J154" s="27"/>
      <c r="K154" s="27">
        <v>0</v>
      </c>
      <c r="L154" s="27"/>
      <c r="M154" s="56">
        <f>K154+I154</f>
        <v>483</v>
      </c>
      <c r="N154" s="27"/>
      <c r="O154" s="6"/>
    </row>
    <row r="155" spans="1:16" ht="15.6" x14ac:dyDescent="0.3">
      <c r="A155" s="26"/>
      <c r="B155" s="27" t="s">
        <v>85</v>
      </c>
      <c r="C155" s="27"/>
      <c r="D155" s="27"/>
      <c r="E155" s="27"/>
      <c r="F155" s="27"/>
      <c r="G155" s="27"/>
      <c r="H155" s="27"/>
      <c r="I155" s="56">
        <f>I153+I154</f>
        <v>2969</v>
      </c>
      <c r="J155" s="27"/>
      <c r="K155" s="56">
        <f>K154+K153</f>
        <v>0</v>
      </c>
      <c r="L155" s="27"/>
      <c r="M155" s="56">
        <f>K155+I155</f>
        <v>2969</v>
      </c>
      <c r="N155" s="27"/>
      <c r="O155" s="6"/>
    </row>
    <row r="156" spans="1:16" ht="15.6" x14ac:dyDescent="0.3">
      <c r="A156" s="26"/>
      <c r="B156" s="27" t="s">
        <v>86</v>
      </c>
      <c r="C156" s="27"/>
      <c r="D156" s="27"/>
      <c r="E156" s="27"/>
      <c r="F156" s="27"/>
      <c r="G156" s="27"/>
      <c r="H156" s="27"/>
      <c r="I156" s="56">
        <f>I152-I155-K155</f>
        <v>12031</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2.5249169435215948</v>
      </c>
      <c r="N160" s="27" t="s">
        <v>145</v>
      </c>
      <c r="O160" s="6"/>
    </row>
    <row r="161" spans="1:15" ht="15.6" x14ac:dyDescent="0.3">
      <c r="A161" s="26"/>
      <c r="B161" s="27" t="s">
        <v>89</v>
      </c>
      <c r="C161" s="27"/>
      <c r="D161" s="27"/>
      <c r="E161" s="27"/>
      <c r="F161" s="27"/>
      <c r="G161" s="27"/>
      <c r="H161" s="27"/>
      <c r="I161" s="27"/>
      <c r="J161" s="27"/>
      <c r="K161" s="27"/>
      <c r="L161" s="27"/>
      <c r="M161" s="73">
        <v>2.5299999999999998</v>
      </c>
      <c r="N161" s="27" t="s">
        <v>145</v>
      </c>
      <c r="O161" s="6"/>
    </row>
    <row r="162" spans="1:15" ht="15.6" x14ac:dyDescent="0.3">
      <c r="A162" s="26"/>
      <c r="B162" s="27" t="s">
        <v>90</v>
      </c>
      <c r="C162" s="27"/>
      <c r="D162" s="27"/>
      <c r="E162" s="27"/>
      <c r="F162" s="27"/>
      <c r="G162" s="27"/>
      <c r="H162" s="27"/>
      <c r="I162" s="27"/>
      <c r="J162" s="27"/>
      <c r="K162" s="27"/>
      <c r="L162" s="27"/>
      <c r="M162" s="63">
        <f>(M88+M90+M91+M92+M93+M94)/-M95</f>
        <v>7.5742574257425739</v>
      </c>
      <c r="N162" s="27" t="s">
        <v>145</v>
      </c>
      <c r="O162" s="6"/>
    </row>
    <row r="163" spans="1:15" ht="15.6" x14ac:dyDescent="0.3">
      <c r="A163" s="26"/>
      <c r="B163" s="27" t="s">
        <v>91</v>
      </c>
      <c r="C163" s="27"/>
      <c r="D163" s="27"/>
      <c r="E163" s="27"/>
      <c r="F163" s="27"/>
      <c r="G163" s="27"/>
      <c r="H163" s="27"/>
      <c r="I163" s="27"/>
      <c r="J163" s="27"/>
      <c r="K163" s="27"/>
      <c r="L163" s="27"/>
      <c r="M163" s="74">
        <v>7.6</v>
      </c>
      <c r="N163" s="27" t="s">
        <v>145</v>
      </c>
      <c r="O163" s="6"/>
    </row>
    <row r="164" spans="1:15" ht="15.6" x14ac:dyDescent="0.3">
      <c r="A164" s="26"/>
      <c r="B164" s="27" t="s">
        <v>181</v>
      </c>
      <c r="C164" s="27"/>
      <c r="D164" s="27"/>
      <c r="E164" s="27"/>
      <c r="F164" s="27"/>
      <c r="G164" s="27"/>
      <c r="H164" s="27"/>
      <c r="I164" s="27"/>
      <c r="J164" s="27"/>
      <c r="K164" s="27"/>
      <c r="L164" s="27"/>
      <c r="M164" s="63">
        <f>(M88+M90+M91+M92+M93+M94+M95)/-M96</f>
        <v>9.8128078817733986</v>
      </c>
      <c r="N164" s="27" t="s">
        <v>145</v>
      </c>
      <c r="O164" s="6"/>
    </row>
    <row r="165" spans="1:15" ht="15.6" x14ac:dyDescent="0.3">
      <c r="A165" s="26"/>
      <c r="B165" s="27" t="s">
        <v>182</v>
      </c>
      <c r="C165" s="27"/>
      <c r="D165" s="27"/>
      <c r="E165" s="27"/>
      <c r="F165" s="27"/>
      <c r="G165" s="27"/>
      <c r="H165" s="27"/>
      <c r="I165" s="27"/>
      <c r="J165" s="27"/>
      <c r="K165" s="27"/>
      <c r="L165" s="27"/>
      <c r="M165" s="74">
        <v>9.82</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OCTOBER 2006</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39021</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8.8099999999999998E-2</v>
      </c>
      <c r="L175" s="27"/>
      <c r="M175" s="27"/>
      <c r="N175" s="27"/>
      <c r="O175" s="6"/>
    </row>
    <row r="176" spans="1:15" ht="15.6" x14ac:dyDescent="0.3">
      <c r="A176" s="83"/>
      <c r="B176" s="84" t="s">
        <v>97</v>
      </c>
      <c r="C176" s="85"/>
      <c r="D176" s="85"/>
      <c r="E176" s="85"/>
      <c r="F176" s="85"/>
      <c r="G176" s="85"/>
      <c r="H176" s="70"/>
      <c r="I176" s="70"/>
      <c r="J176" s="70"/>
      <c r="K176" s="86">
        <f>M36</f>
        <v>5.3190000000000001E-2</v>
      </c>
      <c r="L176" s="27"/>
      <c r="M176" s="27"/>
      <c r="N176" s="27"/>
      <c r="O176" s="6"/>
    </row>
    <row r="177" spans="1:15" ht="15.6" x14ac:dyDescent="0.3">
      <c r="A177" s="83"/>
      <c r="B177" s="84" t="s">
        <v>98</v>
      </c>
      <c r="C177" s="85"/>
      <c r="D177" s="85"/>
      <c r="E177" s="85"/>
      <c r="F177" s="85"/>
      <c r="G177" s="85"/>
      <c r="H177" s="70"/>
      <c r="I177" s="70"/>
      <c r="J177" s="70"/>
      <c r="K177" s="86">
        <f>K175-K176</f>
        <v>3.4909999999999997E-2</v>
      </c>
      <c r="L177" s="27"/>
      <c r="M177" s="27"/>
      <c r="N177" s="27"/>
      <c r="O177" s="6"/>
    </row>
    <row r="178" spans="1:15" ht="15.6" x14ac:dyDescent="0.3">
      <c r="A178" s="83"/>
      <c r="B178" s="84" t="s">
        <v>211</v>
      </c>
      <c r="C178" s="85"/>
      <c r="D178" s="85"/>
      <c r="E178" s="85"/>
      <c r="F178" s="85"/>
      <c r="G178" s="85"/>
      <c r="H178" s="70"/>
      <c r="I178" s="70"/>
      <c r="J178" s="70"/>
      <c r="K178" s="86">
        <f>(+M88+M90)/E59</f>
        <v>2.777678756033395E-2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15.72</v>
      </c>
      <c r="L183" s="27" t="s">
        <v>139</v>
      </c>
      <c r="M183" s="27"/>
      <c r="N183" s="27"/>
      <c r="O183" s="6"/>
    </row>
    <row r="184" spans="1:15" ht="15.6" x14ac:dyDescent="0.3">
      <c r="A184" s="83"/>
      <c r="B184" s="84" t="s">
        <v>103</v>
      </c>
      <c r="C184" s="85"/>
      <c r="D184" s="85"/>
      <c r="E184" s="85"/>
      <c r="F184" s="85"/>
      <c r="G184" s="85"/>
      <c r="H184" s="70"/>
      <c r="I184" s="70"/>
      <c r="J184" s="70"/>
      <c r="K184" s="138">
        <f>K81/E59</f>
        <v>0.11692131098452171</v>
      </c>
      <c r="L184" s="27"/>
      <c r="M184" s="27"/>
      <c r="N184" s="27"/>
      <c r="O184" s="6"/>
    </row>
    <row r="185" spans="1:15" ht="15.6" x14ac:dyDescent="0.3">
      <c r="A185" s="83"/>
      <c r="B185" s="84" t="s">
        <v>104</v>
      </c>
      <c r="C185" s="85"/>
      <c r="D185" s="85"/>
      <c r="E185" s="85"/>
      <c r="F185" s="85"/>
      <c r="G185" s="85"/>
      <c r="H185" s="70"/>
      <c r="I185" s="70"/>
      <c r="J185" s="70"/>
      <c r="K185" s="86">
        <v>0.39069999999999999</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665</v>
      </c>
      <c r="K188" s="93">
        <v>19773</v>
      </c>
      <c r="L188" s="27"/>
      <c r="M188" s="87"/>
      <c r="N188" s="94"/>
      <c r="O188" s="6"/>
    </row>
    <row r="189" spans="1:15" ht="15.6" x14ac:dyDescent="0.3">
      <c r="A189" s="92"/>
      <c r="B189" s="84" t="s">
        <v>196</v>
      </c>
      <c r="C189" s="57"/>
      <c r="D189" s="57"/>
      <c r="E189" s="57"/>
      <c r="F189" s="57"/>
      <c r="G189" s="27"/>
      <c r="H189" s="27"/>
      <c r="I189" s="27"/>
      <c r="J189" s="33">
        <v>19</v>
      </c>
      <c r="K189" s="93">
        <v>778</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39234</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407</v>
      </c>
      <c r="L193" s="27"/>
      <c r="M193" s="87"/>
      <c r="N193" s="96"/>
      <c r="O193" s="6"/>
    </row>
    <row r="194" spans="1:15" ht="15.6" x14ac:dyDescent="0.3">
      <c r="A194" s="92"/>
      <c r="B194" s="84" t="s">
        <v>111</v>
      </c>
      <c r="C194" s="57"/>
      <c r="D194" s="57"/>
      <c r="E194" s="57"/>
      <c r="F194" s="57"/>
      <c r="G194" s="57"/>
      <c r="H194" s="27"/>
      <c r="I194" s="27"/>
      <c r="J194" s="27"/>
      <c r="K194" s="93">
        <f>+'July 2006'!K194+'Oct 2006'!K193</f>
        <v>3633</v>
      </c>
      <c r="L194" s="27"/>
      <c r="M194" s="87"/>
      <c r="N194" s="96"/>
      <c r="O194" s="6"/>
    </row>
    <row r="195" spans="1:15" ht="15.6" x14ac:dyDescent="0.3">
      <c r="A195" s="92"/>
      <c r="B195" s="84" t="s">
        <v>112</v>
      </c>
      <c r="C195" s="57"/>
      <c r="D195" s="57"/>
      <c r="E195" s="57"/>
      <c r="F195" s="57"/>
      <c r="G195" s="57"/>
      <c r="H195" s="27"/>
      <c r="I195" s="27"/>
      <c r="J195" s="27"/>
      <c r="K195" s="93">
        <f>+'July 2006'!K195+443</f>
        <v>1353</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237</v>
      </c>
      <c r="C197" s="57"/>
      <c r="D197" s="57"/>
      <c r="E197" s="84"/>
      <c r="F197" s="84"/>
      <c r="G197" s="84"/>
      <c r="H197" s="27"/>
      <c r="I197" s="27"/>
      <c r="J197" s="27"/>
      <c r="K197" s="93">
        <v>7</v>
      </c>
      <c r="L197" s="27"/>
      <c r="M197" s="87"/>
      <c r="N197" s="96"/>
      <c r="O197" s="6"/>
    </row>
    <row r="198" spans="1:15" ht="15.6" x14ac:dyDescent="0.3">
      <c r="A198" s="92"/>
      <c r="B198" s="84" t="s">
        <v>113</v>
      </c>
      <c r="C198" s="57"/>
      <c r="D198" s="57"/>
      <c r="E198" s="97"/>
      <c r="F198" s="97"/>
      <c r="G198" s="98"/>
      <c r="H198" s="27"/>
      <c r="I198" s="27"/>
      <c r="J198" s="27"/>
      <c r="K198" s="68">
        <v>12.95</v>
      </c>
      <c r="L198" s="27"/>
      <c r="M198" s="87"/>
      <c r="N198" s="96"/>
      <c r="O198" s="6"/>
    </row>
    <row r="199" spans="1:15" ht="15.6" x14ac:dyDescent="0.3">
      <c r="A199" s="92"/>
      <c r="B199" s="84" t="s">
        <v>114</v>
      </c>
      <c r="C199" s="57"/>
      <c r="D199" s="57"/>
      <c r="E199" s="97"/>
      <c r="F199" s="97"/>
      <c r="G199" s="98"/>
      <c r="H199" s="27"/>
      <c r="I199" s="27"/>
      <c r="J199" s="27"/>
      <c r="K199" s="68">
        <v>6.87</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9825</v>
      </c>
      <c r="J204" s="103">
        <f>I204/I213</f>
        <v>0.93660629170638698</v>
      </c>
      <c r="K204" s="56">
        <v>266777</v>
      </c>
      <c r="L204" s="136">
        <f>K204/K213</f>
        <v>0.93099633571802476</v>
      </c>
      <c r="M204" s="87"/>
      <c r="N204" s="96"/>
      <c r="O204" s="6"/>
    </row>
    <row r="205" spans="1:15" ht="15.6" x14ac:dyDescent="0.3">
      <c r="A205" s="26"/>
      <c r="B205" s="57" t="s">
        <v>117</v>
      </c>
      <c r="C205" s="102"/>
      <c r="D205" s="102"/>
      <c r="E205" s="57"/>
      <c r="F205" s="102"/>
      <c r="G205" s="27"/>
      <c r="H205" s="103"/>
      <c r="I205" s="57">
        <v>187</v>
      </c>
      <c r="J205" s="103">
        <f>I205/I213</f>
        <v>1.7826501429933271E-2</v>
      </c>
      <c r="K205" s="56">
        <v>5223</v>
      </c>
      <c r="L205" s="136">
        <f>K205/K213</f>
        <v>1.8227185482463795E-2</v>
      </c>
      <c r="M205" s="87"/>
      <c r="N205" s="96"/>
      <c r="O205" s="6"/>
    </row>
    <row r="206" spans="1:15" ht="15.6" x14ac:dyDescent="0.3">
      <c r="A206" s="26"/>
      <c r="B206" s="57" t="s">
        <v>118</v>
      </c>
      <c r="C206" s="102"/>
      <c r="D206" s="102"/>
      <c r="E206" s="57"/>
      <c r="F206" s="102"/>
      <c r="G206" s="27"/>
      <c r="H206" s="103"/>
      <c r="I206" s="57">
        <v>129</v>
      </c>
      <c r="J206" s="103">
        <f>I206/I213</f>
        <v>1.2297426120114394E-2</v>
      </c>
      <c r="K206" s="56">
        <v>4180</v>
      </c>
      <c r="L206" s="136">
        <f>K206/K213</f>
        <v>1.4587332053742802E-2</v>
      </c>
      <c r="M206" s="87"/>
      <c r="N206" s="96"/>
      <c r="O206" s="6"/>
    </row>
    <row r="207" spans="1:15" ht="15.6" x14ac:dyDescent="0.3">
      <c r="A207" s="26"/>
      <c r="B207" s="57" t="s">
        <v>167</v>
      </c>
      <c r="C207" s="102"/>
      <c r="D207" s="102"/>
      <c r="E207" s="57"/>
      <c r="F207" s="102"/>
      <c r="G207" s="27"/>
      <c r="H207" s="103"/>
      <c r="I207" s="57">
        <v>85</v>
      </c>
      <c r="J207" s="103">
        <f>I207/I213</f>
        <v>8.1029551954242135E-3</v>
      </c>
      <c r="K207" s="56">
        <v>2411</v>
      </c>
      <c r="L207" s="136">
        <f>K207/K213</f>
        <v>8.4138893735822718E-3</v>
      </c>
      <c r="M207" s="87"/>
      <c r="N207" s="96"/>
      <c r="O207" s="6"/>
    </row>
    <row r="208" spans="1:15" ht="15.6" x14ac:dyDescent="0.3">
      <c r="A208" s="26"/>
      <c r="B208" s="57" t="s">
        <v>168</v>
      </c>
      <c r="C208" s="102"/>
      <c r="D208" s="102"/>
      <c r="E208" s="57"/>
      <c r="F208" s="102"/>
      <c r="G208" s="27"/>
      <c r="H208" s="103"/>
      <c r="I208" s="57">
        <v>77</v>
      </c>
      <c r="J208" s="103">
        <f>I208/I213</f>
        <v>7.3403241182078173E-3</v>
      </c>
      <c r="K208" s="56">
        <v>2198</v>
      </c>
      <c r="L208" s="136">
        <f>K208/K213</f>
        <v>7.6705636014657132E-3</v>
      </c>
      <c r="M208" s="87"/>
      <c r="N208" s="96"/>
      <c r="O208" s="6"/>
    </row>
    <row r="209" spans="1:15" ht="15.6" x14ac:dyDescent="0.3">
      <c r="A209" s="26"/>
      <c r="B209" s="57" t="s">
        <v>169</v>
      </c>
      <c r="C209" s="102"/>
      <c r="D209" s="102"/>
      <c r="E209" s="57"/>
      <c r="F209" s="102"/>
      <c r="G209" s="27"/>
      <c r="H209" s="103"/>
      <c r="I209" s="57">
        <v>51</v>
      </c>
      <c r="J209" s="103">
        <f>I209/I213</f>
        <v>4.8617731172545279E-3</v>
      </c>
      <c r="K209" s="56">
        <v>1567</v>
      </c>
      <c r="L209" s="136">
        <f>K209/K213</f>
        <v>5.4685046239748734E-3</v>
      </c>
      <c r="M209" s="87"/>
      <c r="N209" s="96"/>
      <c r="O209" s="6"/>
    </row>
    <row r="210" spans="1:15" ht="15.6" x14ac:dyDescent="0.3">
      <c r="A210" s="26"/>
      <c r="B210" s="57" t="s">
        <v>176</v>
      </c>
      <c r="C210" s="102"/>
      <c r="D210" s="102"/>
      <c r="E210" s="57"/>
      <c r="F210" s="102"/>
      <c r="G210" s="27"/>
      <c r="H210" s="103"/>
      <c r="I210" s="57">
        <v>88</v>
      </c>
      <c r="J210" s="103">
        <f>I210/I213</f>
        <v>8.3889418493803616E-3</v>
      </c>
      <c r="K210" s="56">
        <v>2531</v>
      </c>
      <c r="L210" s="136">
        <f>K210/K213</f>
        <v>8.8326644564648404E-3</v>
      </c>
      <c r="M210" s="87"/>
      <c r="N210" s="96"/>
      <c r="O210" s="6"/>
    </row>
    <row r="211" spans="1:15" ht="15.6" x14ac:dyDescent="0.3">
      <c r="A211" s="26"/>
      <c r="B211" s="57" t="s">
        <v>202</v>
      </c>
      <c r="C211" s="102"/>
      <c r="D211" s="102"/>
      <c r="E211" s="57"/>
      <c r="F211" s="102"/>
      <c r="G211" s="27"/>
      <c r="H211" s="103"/>
      <c r="I211" s="57">
        <v>48</v>
      </c>
      <c r="J211" s="103">
        <f>+I211/I213</f>
        <v>4.5757864632983798E-3</v>
      </c>
      <c r="K211" s="56">
        <v>1663</v>
      </c>
      <c r="L211" s="136">
        <f>+K211/K213</f>
        <v>5.8035246902809279E-3</v>
      </c>
      <c r="M211" s="87"/>
      <c r="N211" s="94"/>
      <c r="O211" s="6"/>
    </row>
    <row r="212" spans="1:15" ht="15.6" x14ac:dyDescent="0.3">
      <c r="A212" s="26"/>
      <c r="B212" s="57" t="s">
        <v>170</v>
      </c>
      <c r="C212" s="102"/>
      <c r="D212" s="102"/>
      <c r="E212" s="57"/>
      <c r="F212" s="102"/>
      <c r="G212" s="2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27"/>
      <c r="H213" s="27"/>
      <c r="I213" s="37">
        <f>SUM(I204:I212)</f>
        <v>10490</v>
      </c>
      <c r="J213" s="136">
        <f>SUM(J204:J212)</f>
        <v>1</v>
      </c>
      <c r="K213" s="56">
        <f>SUM(K204:K212)</f>
        <v>286550</v>
      </c>
      <c r="L213" s="136">
        <f>SUM(L204:L212)</f>
        <v>0.99999999999999989</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10490</v>
      </c>
      <c r="J215" s="136"/>
      <c r="K215" s="56">
        <f>+K213+K214</f>
        <v>286550</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OCTOBER 2006</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600-000000000000}"/>
    <hyperlink ref="K201" r:id="rId2" xr:uid="{00000000-0004-0000-06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2D2926"/>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39136</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5.4274999999999997E-2</v>
      </c>
      <c r="D36" s="27"/>
      <c r="E36" s="41">
        <v>5.9775000000000002E-2</v>
      </c>
      <c r="F36" s="42"/>
      <c r="G36" s="41">
        <v>6.2274999999999997E-2</v>
      </c>
      <c r="H36" s="42"/>
      <c r="I36" s="41"/>
      <c r="J36" s="42"/>
      <c r="K36" s="41"/>
      <c r="L36" s="142"/>
      <c r="M36" s="42">
        <f>SUMPRODUCT(C36:G36,C31:G31)/M31</f>
        <v>5.5765000000000002E-2</v>
      </c>
      <c r="N36" s="27"/>
      <c r="O36" s="6"/>
    </row>
    <row r="37" spans="1:15" ht="15.6" x14ac:dyDescent="0.3">
      <c r="A37" s="26"/>
      <c r="B37" s="27" t="s">
        <v>19</v>
      </c>
      <c r="C37" s="41">
        <v>5.1700000000000003E-2</v>
      </c>
      <c r="D37" s="27"/>
      <c r="E37" s="41">
        <v>5.7200000000000001E-2</v>
      </c>
      <c r="F37" s="42"/>
      <c r="G37" s="41">
        <v>5.9700000000000003E-2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39128</v>
      </c>
      <c r="N47" s="27"/>
      <c r="O47" s="6"/>
    </row>
    <row r="48" spans="1:15" ht="15.6" x14ac:dyDescent="0.3">
      <c r="A48" s="26"/>
      <c r="B48" s="27" t="s">
        <v>26</v>
      </c>
      <c r="C48" s="27"/>
      <c r="D48" s="27"/>
      <c r="E48" s="27"/>
      <c r="F48" s="27"/>
      <c r="G48" s="27"/>
      <c r="H48" s="27"/>
      <c r="I48" s="27"/>
      <c r="J48" s="27">
        <f>M48-K48+1</f>
        <v>92</v>
      </c>
      <c r="K48" s="48">
        <v>38944</v>
      </c>
      <c r="L48" s="49"/>
      <c r="M48" s="48">
        <v>39035</v>
      </c>
      <c r="N48" s="27"/>
      <c r="O48" s="6"/>
    </row>
    <row r="49" spans="1:15" ht="15.6" x14ac:dyDescent="0.3">
      <c r="A49" s="26"/>
      <c r="B49" s="27" t="s">
        <v>27</v>
      </c>
      <c r="C49" s="27"/>
      <c r="D49" s="27"/>
      <c r="E49" s="27"/>
      <c r="F49" s="27"/>
      <c r="G49" s="27"/>
      <c r="H49" s="27"/>
      <c r="I49" s="27"/>
      <c r="J49" s="27">
        <f>M49-K49+1</f>
        <v>92</v>
      </c>
      <c r="K49" s="48">
        <v>39036</v>
      </c>
      <c r="L49" s="49"/>
      <c r="M49" s="48">
        <v>39127</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39114</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212</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286550</v>
      </c>
      <c r="F59" s="37"/>
      <c r="G59" s="37">
        <f>27958+3143+376+951+172</f>
        <v>32600</v>
      </c>
      <c r="H59" s="37"/>
      <c r="I59" s="37">
        <f>7431+694</f>
        <v>8125</v>
      </c>
      <c r="J59" s="37"/>
      <c r="K59" s="37">
        <v>0</v>
      </c>
      <c r="L59" s="37"/>
      <c r="M59" s="56">
        <f>E59-G59+I59-K59</f>
        <v>262075</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286550</v>
      </c>
      <c r="F63" s="37"/>
      <c r="G63" s="37">
        <f>SUM(G59:G62)</f>
        <v>32600</v>
      </c>
      <c r="H63" s="37"/>
      <c r="I63" s="37">
        <f>SUM(I59:I62)</f>
        <v>8125</v>
      </c>
      <c r="J63" s="37"/>
      <c r="K63" s="37">
        <f>SUM(K59:K62)</f>
        <v>0</v>
      </c>
      <c r="L63" s="37"/>
      <c r="M63" s="57">
        <f>SUM(M59:M62)</f>
        <v>262075</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v>0</v>
      </c>
      <c r="J73" s="37"/>
      <c r="K73" s="37"/>
      <c r="L73" s="37"/>
      <c r="M73" s="57">
        <f>+E73+I73</f>
        <v>0</v>
      </c>
      <c r="N73" s="27"/>
      <c r="O73" s="6"/>
    </row>
    <row r="74" spans="1:16" ht="15.6" x14ac:dyDescent="0.3">
      <c r="A74" s="26"/>
      <c r="B74" s="27" t="s">
        <v>171</v>
      </c>
      <c r="C74" s="37">
        <v>0</v>
      </c>
      <c r="D74" s="37"/>
      <c r="E74" s="37">
        <v>13450</v>
      </c>
      <c r="F74" s="37"/>
      <c r="G74" s="37"/>
      <c r="H74" s="37"/>
      <c r="I74" s="37"/>
      <c r="J74" s="37"/>
      <c r="K74" s="37"/>
      <c r="L74" s="37"/>
      <c r="M74" s="57">
        <f>K112-M73</f>
        <v>37925</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39113</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+'Oct 2006'!K112</f>
        <v>13450</v>
      </c>
      <c r="L80" s="27"/>
      <c r="M80" s="56">
        <v>0</v>
      </c>
      <c r="N80" s="27"/>
      <c r="O80" s="6"/>
    </row>
    <row r="81" spans="1:16" ht="15.6" x14ac:dyDescent="0.3">
      <c r="A81" s="26"/>
      <c r="B81" s="27" t="s">
        <v>42</v>
      </c>
      <c r="C81" s="43" t="s">
        <v>207</v>
      </c>
      <c r="D81" s="60" t="s">
        <v>207</v>
      </c>
      <c r="E81" s="61"/>
      <c r="F81" s="27"/>
      <c r="G81" s="27"/>
      <c r="H81" s="27"/>
      <c r="I81" s="27"/>
      <c r="J81" s="27"/>
      <c r="K81" s="37">
        <f>32600-951</f>
        <v>31649</v>
      </c>
      <c r="L81" s="27"/>
      <c r="M81" s="56"/>
      <c r="N81" s="27"/>
      <c r="O81" s="6"/>
    </row>
    <row r="82" spans="1:16" ht="15.6" x14ac:dyDescent="0.3">
      <c r="A82" s="26"/>
      <c r="B82" s="27" t="s">
        <v>204</v>
      </c>
      <c r="C82" s="43"/>
      <c r="D82" s="60"/>
      <c r="E82" s="61"/>
      <c r="F82" s="27"/>
      <c r="G82" s="27"/>
      <c r="H82" s="27"/>
      <c r="I82" s="27"/>
      <c r="J82" s="27"/>
      <c r="K82" s="37"/>
      <c r="L82" s="27"/>
      <c r="M82" s="56">
        <f>8870-3143</f>
        <v>5727</v>
      </c>
      <c r="N82" s="27"/>
      <c r="O82" s="6"/>
    </row>
    <row r="83" spans="1:16" ht="15.6" x14ac:dyDescent="0.3">
      <c r="A83" s="26"/>
      <c r="B83" s="27" t="s">
        <v>205</v>
      </c>
      <c r="C83" s="43"/>
      <c r="D83" s="60"/>
      <c r="E83" s="61"/>
      <c r="F83" s="27"/>
      <c r="G83" s="27"/>
      <c r="H83" s="27"/>
      <c r="I83" s="27"/>
      <c r="J83" s="27"/>
      <c r="K83" s="37"/>
      <c r="L83" s="27"/>
      <c r="M83" s="56">
        <v>1837</v>
      </c>
      <c r="N83" s="27"/>
      <c r="O83" s="6"/>
    </row>
    <row r="84" spans="1:16" ht="15.6" x14ac:dyDescent="0.3">
      <c r="A84" s="26"/>
      <c r="B84" s="27" t="s">
        <v>206</v>
      </c>
      <c r="C84" s="43"/>
      <c r="D84" s="60"/>
      <c r="E84" s="61"/>
      <c r="F84" s="27"/>
      <c r="G84" s="27"/>
      <c r="H84" s="27"/>
      <c r="I84" s="27"/>
      <c r="J84" s="27"/>
      <c r="K84" s="37"/>
      <c r="L84" s="27"/>
      <c r="M84" s="56">
        <v>550</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45099</v>
      </c>
      <c r="L86" s="27"/>
      <c r="M86" s="57">
        <f>SUM(M80:M85)</f>
        <v>8114</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45099</v>
      </c>
      <c r="L88" s="27"/>
      <c r="M88" s="57">
        <f>M86+M87</f>
        <v>8114</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-18</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-110-76-4</f>
        <v>-190</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-3160</v>
      </c>
      <c r="N94" s="27"/>
      <c r="O94" s="6"/>
    </row>
    <row r="95" spans="1:16" ht="15.6" x14ac:dyDescent="0.3">
      <c r="A95" s="26">
        <v>5</v>
      </c>
      <c r="B95" s="27" t="s">
        <v>52</v>
      </c>
      <c r="C95" s="27"/>
      <c r="D95" s="27"/>
      <c r="E95" s="27"/>
      <c r="F95" s="27"/>
      <c r="G95" s="27"/>
      <c r="H95" s="27"/>
      <c r="I95" s="27"/>
      <c r="J95" s="27"/>
      <c r="K95" s="27"/>
      <c r="L95" s="27"/>
      <c r="M95" s="56">
        <v>-633</v>
      </c>
      <c r="N95" s="27"/>
      <c r="O95" s="6"/>
    </row>
    <row r="96" spans="1:16" ht="15.6" x14ac:dyDescent="0.3">
      <c r="A96" s="26">
        <v>6</v>
      </c>
      <c r="B96" s="27" t="s">
        <v>172</v>
      </c>
      <c r="C96" s="27"/>
      <c r="D96" s="27"/>
      <c r="E96" s="27"/>
      <c r="F96" s="27"/>
      <c r="G96" s="27"/>
      <c r="H96" s="27"/>
      <c r="I96" s="27"/>
      <c r="J96" s="27"/>
      <c r="K96" s="27"/>
      <c r="L96" s="27"/>
      <c r="M96" s="56">
        <v>-424</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951</v>
      </c>
      <c r="L98" s="27"/>
      <c r="M98" s="56">
        <v>-951</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-109</v>
      </c>
      <c r="N102" s="27"/>
      <c r="O102" s="6"/>
    </row>
    <row r="103" spans="1:16" ht="15.6" x14ac:dyDescent="0.3">
      <c r="A103" s="26">
        <v>13</v>
      </c>
      <c r="B103" s="27" t="s">
        <v>195</v>
      </c>
      <c r="C103" s="27"/>
      <c r="D103" s="27"/>
      <c r="E103" s="27"/>
      <c r="F103" s="27"/>
      <c r="G103" s="27"/>
      <c r="H103" s="27"/>
      <c r="I103" s="27"/>
      <c r="J103" s="27"/>
      <c r="K103" s="27"/>
      <c r="L103" s="27"/>
      <c r="M103" s="56">
        <f>-M88-SUM(M90:M102)</f>
        <v>-2622</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-694</v>
      </c>
      <c r="L106" s="37"/>
      <c r="M106" s="56"/>
      <c r="N106" s="27"/>
      <c r="O106" s="6"/>
      <c r="P106" s="117"/>
    </row>
    <row r="107" spans="1:16" ht="15.6" x14ac:dyDescent="0.3">
      <c r="A107" s="26"/>
      <c r="B107" s="27" t="s">
        <v>187</v>
      </c>
      <c r="C107" s="27"/>
      <c r="D107" s="27"/>
      <c r="E107" s="27"/>
      <c r="F107" s="27"/>
      <c r="G107" s="27"/>
      <c r="H107" s="27"/>
      <c r="I107" s="27"/>
      <c r="J107" s="27"/>
      <c r="K107" s="37">
        <v>-7431</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-8125</v>
      </c>
      <c r="L111" s="37"/>
      <c r="M111" s="37">
        <f>SUM(M89:M110)</f>
        <v>-8114</v>
      </c>
      <c r="N111" s="27"/>
      <c r="O111" s="6"/>
    </row>
    <row r="112" spans="1:16" ht="15.6" x14ac:dyDescent="0.3">
      <c r="A112" s="26"/>
      <c r="B112" s="27" t="s">
        <v>61</v>
      </c>
      <c r="C112" s="27"/>
      <c r="D112" s="27"/>
      <c r="E112" s="27"/>
      <c r="F112" s="27"/>
      <c r="G112" s="27"/>
      <c r="H112" s="27"/>
      <c r="I112" s="27"/>
      <c r="J112" s="27"/>
      <c r="K112" s="37">
        <f>K88+K111+K98</f>
        <v>37925</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JANUARY 2007</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53</v>
      </c>
      <c r="N138" s="27"/>
      <c r="O138" s="6"/>
    </row>
    <row r="139" spans="1:15" ht="15.6" x14ac:dyDescent="0.3">
      <c r="A139" s="26"/>
      <c r="B139" s="27" t="s">
        <v>180</v>
      </c>
      <c r="C139" s="27"/>
      <c r="D139" s="27"/>
      <c r="E139" s="27"/>
      <c r="F139" s="27"/>
      <c r="G139" s="27"/>
      <c r="H139" s="27"/>
      <c r="I139" s="27"/>
      <c r="J139" s="27"/>
      <c r="K139" s="27"/>
      <c r="L139" s="27"/>
      <c r="M139" s="56">
        <v>898</v>
      </c>
      <c r="N139" s="27"/>
      <c r="O139" s="6"/>
    </row>
    <row r="140" spans="1:15" ht="15.6" x14ac:dyDescent="0.3">
      <c r="A140" s="26"/>
      <c r="B140" s="27" t="s">
        <v>77</v>
      </c>
      <c r="C140" s="27"/>
      <c r="D140" s="27"/>
      <c r="E140" s="27"/>
      <c r="F140" s="27"/>
      <c r="G140" s="27"/>
      <c r="H140" s="27"/>
      <c r="I140" s="27"/>
      <c r="J140" s="27"/>
      <c r="K140" s="27"/>
      <c r="L140" s="27"/>
      <c r="M140" s="56">
        <f>M138+M137+M139</f>
        <v>951</v>
      </c>
      <c r="N140" s="27"/>
      <c r="O140" s="6"/>
    </row>
    <row r="141" spans="1:15" ht="15.6" x14ac:dyDescent="0.3">
      <c r="A141" s="26"/>
      <c r="B141" s="27" t="s">
        <v>183</v>
      </c>
      <c r="C141" s="27"/>
      <c r="D141" s="27"/>
      <c r="E141" s="27"/>
      <c r="F141" s="27"/>
      <c r="G141" s="27"/>
      <c r="H141" s="27"/>
      <c r="I141" s="70"/>
      <c r="J141" s="27"/>
      <c r="K141" s="27"/>
      <c r="L141" s="27"/>
      <c r="M141" s="56">
        <f>M98</f>
        <v>-951</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'Oct 2006'!I155</f>
        <v>2969</v>
      </c>
      <c r="J153" s="27"/>
      <c r="K153" s="56">
        <v>0</v>
      </c>
      <c r="L153" s="27"/>
      <c r="M153" s="56">
        <f>K153+I153</f>
        <v>2969</v>
      </c>
      <c r="N153" s="27"/>
      <c r="O153" s="6"/>
    </row>
    <row r="154" spans="1:16" ht="15.6" x14ac:dyDescent="0.3">
      <c r="A154" s="26"/>
      <c r="B154" s="27" t="s">
        <v>84</v>
      </c>
      <c r="C154" s="27"/>
      <c r="D154" s="27"/>
      <c r="E154" s="27"/>
      <c r="F154" s="27"/>
      <c r="G154" s="27"/>
      <c r="H154" s="27"/>
      <c r="I154" s="37">
        <v>694</v>
      </c>
      <c r="J154" s="27"/>
      <c r="K154" s="27">
        <v>0</v>
      </c>
      <c r="L154" s="27"/>
      <c r="M154" s="56">
        <f>K154+I154</f>
        <v>694</v>
      </c>
      <c r="N154" s="27"/>
      <c r="O154" s="6"/>
    </row>
    <row r="155" spans="1:16" ht="15.6" x14ac:dyDescent="0.3">
      <c r="A155" s="26"/>
      <c r="B155" s="27" t="s">
        <v>85</v>
      </c>
      <c r="C155" s="27"/>
      <c r="D155" s="27"/>
      <c r="E155" s="27"/>
      <c r="F155" s="27"/>
      <c r="G155" s="27"/>
      <c r="H155" s="27"/>
      <c r="I155" s="56">
        <f>I153+I154</f>
        <v>3663</v>
      </c>
      <c r="J155" s="27"/>
      <c r="K155" s="56">
        <f>K154+K153</f>
        <v>0</v>
      </c>
      <c r="L155" s="27"/>
      <c r="M155" s="56">
        <f>K155+I155</f>
        <v>3663</v>
      </c>
      <c r="N155" s="27"/>
      <c r="O155" s="6"/>
    </row>
    <row r="156" spans="1:16" ht="15.6" x14ac:dyDescent="0.3">
      <c r="A156" s="26"/>
      <c r="B156" s="27" t="s">
        <v>86</v>
      </c>
      <c r="C156" s="27"/>
      <c r="D156" s="27"/>
      <c r="E156" s="27"/>
      <c r="F156" s="27"/>
      <c r="G156" s="27"/>
      <c r="H156" s="27"/>
      <c r="I156" s="56">
        <f>I152-I155-K155</f>
        <v>11337</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2.5012658227848101</v>
      </c>
      <c r="N160" s="27" t="s">
        <v>145</v>
      </c>
      <c r="O160" s="6"/>
    </row>
    <row r="161" spans="1:15" ht="15.6" x14ac:dyDescent="0.3">
      <c r="A161" s="26"/>
      <c r="B161" s="27" t="s">
        <v>89</v>
      </c>
      <c r="C161" s="27"/>
      <c r="D161" s="27"/>
      <c r="E161" s="27"/>
      <c r="F161" s="27"/>
      <c r="G161" s="27"/>
      <c r="H161" s="27"/>
      <c r="I161" s="27"/>
      <c r="J161" s="27"/>
      <c r="K161" s="27"/>
      <c r="L161" s="27"/>
      <c r="M161" s="73">
        <v>2.5299999999999998</v>
      </c>
      <c r="N161" s="27" t="s">
        <v>145</v>
      </c>
      <c r="O161" s="6"/>
    </row>
    <row r="162" spans="1:15" ht="15.6" x14ac:dyDescent="0.3">
      <c r="A162" s="26"/>
      <c r="B162" s="27" t="s">
        <v>90</v>
      </c>
      <c r="C162" s="27"/>
      <c r="D162" s="27"/>
      <c r="E162" s="27"/>
      <c r="F162" s="27"/>
      <c r="G162" s="27"/>
      <c r="H162" s="27"/>
      <c r="I162" s="27"/>
      <c r="J162" s="27"/>
      <c r="K162" s="27"/>
      <c r="L162" s="27"/>
      <c r="M162" s="63">
        <f>(M88+M90+M91+M92+M93+M94)/-M95</f>
        <v>7.494470774091627</v>
      </c>
      <c r="N162" s="27" t="s">
        <v>145</v>
      </c>
      <c r="O162" s="6"/>
    </row>
    <row r="163" spans="1:15" ht="15.6" x14ac:dyDescent="0.3">
      <c r="A163" s="26"/>
      <c r="B163" s="27" t="s">
        <v>91</v>
      </c>
      <c r="C163" s="27"/>
      <c r="D163" s="27"/>
      <c r="E163" s="27"/>
      <c r="F163" s="27"/>
      <c r="G163" s="27"/>
      <c r="H163" s="27"/>
      <c r="I163" s="27"/>
      <c r="J163" s="27"/>
      <c r="K163" s="27"/>
      <c r="L163" s="27"/>
      <c r="M163" s="74">
        <v>7.58</v>
      </c>
      <c r="N163" s="27" t="s">
        <v>145</v>
      </c>
      <c r="O163" s="6"/>
    </row>
    <row r="164" spans="1:15" ht="15.6" x14ac:dyDescent="0.3">
      <c r="A164" s="26"/>
      <c r="B164" s="27" t="s">
        <v>181</v>
      </c>
      <c r="C164" s="27"/>
      <c r="D164" s="27"/>
      <c r="E164" s="27"/>
      <c r="F164" s="27"/>
      <c r="G164" s="27"/>
      <c r="H164" s="27"/>
      <c r="I164" s="27"/>
      <c r="J164" s="27"/>
      <c r="K164" s="27"/>
      <c r="L164" s="27"/>
      <c r="M164" s="63">
        <f>(M88+M90+M91+M92+M93+M94+M95)/-M96</f>
        <v>9.6957547169811313</v>
      </c>
      <c r="N164" s="27" t="s">
        <v>145</v>
      </c>
      <c r="O164" s="6"/>
    </row>
    <row r="165" spans="1:15" ht="15.6" x14ac:dyDescent="0.3">
      <c r="A165" s="26"/>
      <c r="B165" s="27" t="s">
        <v>182</v>
      </c>
      <c r="C165" s="27"/>
      <c r="D165" s="27"/>
      <c r="E165" s="27"/>
      <c r="F165" s="27"/>
      <c r="G165" s="27"/>
      <c r="H165" s="27"/>
      <c r="I165" s="27"/>
      <c r="J165" s="27"/>
      <c r="K165" s="27"/>
      <c r="L165" s="27"/>
      <c r="M165" s="74">
        <v>9.8000000000000007</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JANUARY 2007</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39113</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8.7599999999999997E-2</v>
      </c>
      <c r="L175" s="27"/>
      <c r="M175" s="27"/>
      <c r="N175" s="27"/>
      <c r="O175" s="6"/>
    </row>
    <row r="176" spans="1:15" ht="15.6" x14ac:dyDescent="0.3">
      <c r="A176" s="83"/>
      <c r="B176" s="84" t="s">
        <v>97</v>
      </c>
      <c r="C176" s="85"/>
      <c r="D176" s="85"/>
      <c r="E176" s="85"/>
      <c r="F176" s="85"/>
      <c r="G176" s="85"/>
      <c r="H176" s="70"/>
      <c r="I176" s="70"/>
      <c r="J176" s="70"/>
      <c r="K176" s="86">
        <f>M36</f>
        <v>5.5765000000000002E-2</v>
      </c>
      <c r="L176" s="27"/>
      <c r="M176" s="27"/>
      <c r="N176" s="27"/>
      <c r="O176" s="6"/>
    </row>
    <row r="177" spans="1:15" ht="15.6" x14ac:dyDescent="0.3">
      <c r="A177" s="83"/>
      <c r="B177" s="84" t="s">
        <v>98</v>
      </c>
      <c r="C177" s="85"/>
      <c r="D177" s="85"/>
      <c r="E177" s="85"/>
      <c r="F177" s="85"/>
      <c r="G177" s="85"/>
      <c r="H177" s="70"/>
      <c r="I177" s="70"/>
      <c r="J177" s="70"/>
      <c r="K177" s="86">
        <f>K175-K176</f>
        <v>3.1834999999999995E-2</v>
      </c>
      <c r="L177" s="27"/>
      <c r="M177" s="27"/>
      <c r="N177" s="27"/>
      <c r="O177" s="6"/>
    </row>
    <row r="178" spans="1:15" ht="15.6" x14ac:dyDescent="0.3">
      <c r="A178" s="83"/>
      <c r="B178" s="84" t="s">
        <v>211</v>
      </c>
      <c r="C178" s="85"/>
      <c r="D178" s="85"/>
      <c r="E178" s="85"/>
      <c r="F178" s="85"/>
      <c r="G178" s="85"/>
      <c r="H178" s="70"/>
      <c r="I178" s="70"/>
      <c r="J178" s="70"/>
      <c r="K178" s="86">
        <f>(+M88+M90)/E59</f>
        <v>2.8253358925143954E-2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15.62</v>
      </c>
      <c r="L183" s="27" t="s">
        <v>139</v>
      </c>
      <c r="M183" s="27"/>
      <c r="N183" s="27"/>
      <c r="O183" s="6"/>
    </row>
    <row r="184" spans="1:15" ht="15.6" x14ac:dyDescent="0.3">
      <c r="A184" s="83"/>
      <c r="B184" s="84" t="s">
        <v>103</v>
      </c>
      <c r="C184" s="85"/>
      <c r="D184" s="85"/>
      <c r="E184" s="85"/>
      <c r="F184" s="85"/>
      <c r="G184" s="85"/>
      <c r="H184" s="70"/>
      <c r="I184" s="70"/>
      <c r="J184" s="70"/>
      <c r="K184" s="138">
        <f>K81/E59</f>
        <v>0.11044843831792009</v>
      </c>
      <c r="L184" s="27"/>
      <c r="M184" s="27"/>
      <c r="N184" s="27"/>
      <c r="O184" s="6"/>
    </row>
    <row r="185" spans="1:15" ht="15.6" x14ac:dyDescent="0.3">
      <c r="A185" s="83"/>
      <c r="B185" s="84" t="s">
        <v>104</v>
      </c>
      <c r="C185" s="85"/>
      <c r="D185" s="85"/>
      <c r="E185" s="85"/>
      <c r="F185" s="85"/>
      <c r="G185" s="85"/>
      <c r="H185" s="70"/>
      <c r="I185" s="70"/>
      <c r="J185" s="70"/>
      <c r="K185" s="86">
        <v>0.3886</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666</v>
      </c>
      <c r="K188" s="93">
        <v>19638</v>
      </c>
      <c r="L188" s="27"/>
      <c r="M188" s="87"/>
      <c r="N188" s="94"/>
      <c r="O188" s="6"/>
    </row>
    <row r="189" spans="1:15" ht="15.6" x14ac:dyDescent="0.3">
      <c r="A189" s="92"/>
      <c r="B189" s="84" t="s">
        <v>196</v>
      </c>
      <c r="C189" s="57"/>
      <c r="D189" s="57"/>
      <c r="E189" s="57"/>
      <c r="F189" s="57"/>
      <c r="G189" s="27"/>
      <c r="H189" s="27"/>
      <c r="I189" s="27"/>
      <c r="J189" s="33">
        <v>17</v>
      </c>
      <c r="K189" s="93">
        <v>557</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8125</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951</v>
      </c>
      <c r="L193" s="27"/>
      <c r="M193" s="87"/>
      <c r="N193" s="96"/>
      <c r="O193" s="6"/>
    </row>
    <row r="194" spans="1:15" ht="15.6" x14ac:dyDescent="0.3">
      <c r="A194" s="92"/>
      <c r="B194" s="84" t="s">
        <v>111</v>
      </c>
      <c r="C194" s="57"/>
      <c r="D194" s="57"/>
      <c r="E194" s="57"/>
      <c r="F194" s="57"/>
      <c r="G194" s="57"/>
      <c r="H194" s="27"/>
      <c r="I194" s="27"/>
      <c r="J194" s="27"/>
      <c r="K194" s="93">
        <f>+'Oct 2006'!K194+'Jan 2007'!K193</f>
        <v>4584</v>
      </c>
      <c r="L194" s="27"/>
      <c r="M194" s="87"/>
      <c r="N194" s="96"/>
      <c r="O194" s="6"/>
    </row>
    <row r="195" spans="1:15" ht="15.6" x14ac:dyDescent="0.3">
      <c r="A195" s="92"/>
      <c r="B195" s="84" t="s">
        <v>112</v>
      </c>
      <c r="C195" s="57"/>
      <c r="D195" s="57"/>
      <c r="E195" s="57"/>
      <c r="F195" s="57"/>
      <c r="G195" s="57"/>
      <c r="H195" s="27"/>
      <c r="I195" s="27"/>
      <c r="J195" s="27"/>
      <c r="K195" s="93">
        <f>+'Oct 2006'!K195+256</f>
        <v>1609</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236</v>
      </c>
      <c r="C197" s="57"/>
      <c r="D197" s="57"/>
      <c r="E197" s="84"/>
      <c r="F197" s="84"/>
      <c r="G197" s="84"/>
      <c r="H197" s="27"/>
      <c r="I197" s="27"/>
      <c r="J197" s="27"/>
      <c r="K197" s="93">
        <v>8</v>
      </c>
      <c r="L197" s="27"/>
      <c r="M197" s="87"/>
      <c r="N197" s="96"/>
      <c r="O197" s="6"/>
    </row>
    <row r="198" spans="1:15" ht="15.6" x14ac:dyDescent="0.3">
      <c r="A198" s="92"/>
      <c r="B198" s="84" t="s">
        <v>113</v>
      </c>
      <c r="C198" s="57"/>
      <c r="D198" s="57"/>
      <c r="E198" s="97"/>
      <c r="F198" s="97"/>
      <c r="G198" s="98"/>
      <c r="H198" s="27"/>
      <c r="I198" s="27"/>
      <c r="J198" s="27"/>
      <c r="K198" s="68">
        <v>12.02</v>
      </c>
      <c r="L198" s="27"/>
      <c r="M198" s="87"/>
      <c r="N198" s="96"/>
      <c r="O198" s="6"/>
    </row>
    <row r="199" spans="1:15" ht="15.6" x14ac:dyDescent="0.3">
      <c r="A199" s="92"/>
      <c r="B199" s="84" t="s">
        <v>114</v>
      </c>
      <c r="C199" s="57"/>
      <c r="D199" s="57"/>
      <c r="E199" s="97"/>
      <c r="F199" s="97"/>
      <c r="G199" s="98"/>
      <c r="H199" s="27"/>
      <c r="I199" s="27"/>
      <c r="J199" s="27"/>
      <c r="K199" s="68">
        <v>4.74</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8903</v>
      </c>
      <c r="J204" s="103">
        <f>I204/I213</f>
        <v>0.93040025080990696</v>
      </c>
      <c r="K204" s="56">
        <v>242437</v>
      </c>
      <c r="L204" s="136">
        <f>K204/K213</f>
        <v>0.92506725174091387</v>
      </c>
      <c r="M204" s="87"/>
      <c r="N204" s="96"/>
      <c r="O204" s="6"/>
    </row>
    <row r="205" spans="1:15" ht="15.6" x14ac:dyDescent="0.3">
      <c r="A205" s="26"/>
      <c r="B205" s="57" t="s">
        <v>117</v>
      </c>
      <c r="C205" s="102"/>
      <c r="D205" s="102"/>
      <c r="E205" s="57"/>
      <c r="F205" s="102"/>
      <c r="G205" s="27"/>
      <c r="H205" s="103"/>
      <c r="I205" s="57">
        <v>175</v>
      </c>
      <c r="J205" s="103">
        <f>I205/I213</f>
        <v>1.8288222384784197E-2</v>
      </c>
      <c r="K205" s="56">
        <v>4891</v>
      </c>
      <c r="L205" s="136">
        <f>K205/K213</f>
        <v>1.8662596584947056E-2</v>
      </c>
      <c r="M205" s="87"/>
      <c r="N205" s="96"/>
      <c r="O205" s="6"/>
    </row>
    <row r="206" spans="1:15" ht="15.6" x14ac:dyDescent="0.3">
      <c r="A206" s="26"/>
      <c r="B206" s="57" t="s">
        <v>118</v>
      </c>
      <c r="C206" s="102"/>
      <c r="D206" s="102"/>
      <c r="E206" s="57"/>
      <c r="F206" s="102"/>
      <c r="G206" s="27"/>
      <c r="H206" s="103"/>
      <c r="I206" s="57">
        <v>124</v>
      </c>
      <c r="J206" s="103">
        <f>I206/I213</f>
        <v>1.2958511861218517E-2</v>
      </c>
      <c r="K206" s="56">
        <v>3641</v>
      </c>
      <c r="L206" s="136">
        <f>K206/K213</f>
        <v>1.3892969569779643E-2</v>
      </c>
      <c r="M206" s="87"/>
      <c r="N206" s="96"/>
      <c r="O206" s="6"/>
    </row>
    <row r="207" spans="1:15" ht="15.6" x14ac:dyDescent="0.3">
      <c r="A207" s="26"/>
      <c r="B207" s="57" t="s">
        <v>167</v>
      </c>
      <c r="C207" s="102"/>
      <c r="D207" s="102"/>
      <c r="E207" s="57"/>
      <c r="F207" s="102"/>
      <c r="G207" s="27"/>
      <c r="H207" s="103"/>
      <c r="I207" s="57">
        <v>99</v>
      </c>
      <c r="J207" s="103">
        <f>I207/I213</f>
        <v>1.0345908663392203E-2</v>
      </c>
      <c r="K207" s="56">
        <v>2893</v>
      </c>
      <c r="L207" s="136">
        <f>K207/K213</f>
        <v>1.1038824763903462E-2</v>
      </c>
      <c r="M207" s="87"/>
      <c r="N207" s="96"/>
      <c r="O207" s="6"/>
    </row>
    <row r="208" spans="1:15" ht="15.6" x14ac:dyDescent="0.3">
      <c r="A208" s="26"/>
      <c r="B208" s="57" t="s">
        <v>168</v>
      </c>
      <c r="C208" s="102"/>
      <c r="D208" s="102"/>
      <c r="E208" s="57"/>
      <c r="F208" s="102"/>
      <c r="G208" s="27"/>
      <c r="H208" s="103"/>
      <c r="I208" s="57">
        <v>63</v>
      </c>
      <c r="J208" s="103">
        <f>I208/I213</f>
        <v>6.5837600585223113E-3</v>
      </c>
      <c r="K208" s="56">
        <v>1870</v>
      </c>
      <c r="L208" s="136">
        <f>K208/K213</f>
        <v>7.1353620146904512E-3</v>
      </c>
      <c r="M208" s="87"/>
      <c r="N208" s="96"/>
      <c r="O208" s="6"/>
    </row>
    <row r="209" spans="1:15" ht="15.6" x14ac:dyDescent="0.3">
      <c r="A209" s="26"/>
      <c r="B209" s="57" t="s">
        <v>169</v>
      </c>
      <c r="C209" s="102"/>
      <c r="D209" s="102"/>
      <c r="E209" s="57"/>
      <c r="F209" s="102"/>
      <c r="G209" s="27"/>
      <c r="H209" s="103"/>
      <c r="I209" s="57">
        <v>44</v>
      </c>
      <c r="J209" s="103">
        <f>I209/I213</f>
        <v>4.5981816281743127E-3</v>
      </c>
      <c r="K209" s="56">
        <v>1500</v>
      </c>
      <c r="L209" s="136">
        <f>K209/K213</f>
        <v>5.7235524182008965E-3</v>
      </c>
      <c r="M209" s="87"/>
      <c r="N209" s="96"/>
      <c r="O209" s="6"/>
    </row>
    <row r="210" spans="1:15" ht="15.6" x14ac:dyDescent="0.3">
      <c r="A210" s="26"/>
      <c r="B210" s="57" t="s">
        <v>176</v>
      </c>
      <c r="C210" s="102"/>
      <c r="D210" s="102"/>
      <c r="E210" s="57"/>
      <c r="F210" s="102"/>
      <c r="G210" s="27"/>
      <c r="H210" s="103"/>
      <c r="I210" s="57">
        <v>103</v>
      </c>
      <c r="J210" s="103">
        <f>I210/I213</f>
        <v>1.0763925175044414E-2</v>
      </c>
      <c r="K210" s="56">
        <v>2851</v>
      </c>
      <c r="L210" s="136">
        <f>K210/K213</f>
        <v>1.0878565296193838E-2</v>
      </c>
      <c r="M210" s="87"/>
      <c r="N210" s="96"/>
      <c r="O210" s="6"/>
    </row>
    <row r="211" spans="1:15" ht="15.6" x14ac:dyDescent="0.3">
      <c r="A211" s="26"/>
      <c r="B211" s="57" t="s">
        <v>202</v>
      </c>
      <c r="C211" s="102"/>
      <c r="D211" s="102"/>
      <c r="E211" s="57"/>
      <c r="F211" s="102"/>
      <c r="G211" s="27"/>
      <c r="H211" s="103"/>
      <c r="I211" s="57">
        <v>58</v>
      </c>
      <c r="J211" s="103">
        <f>+I211/I213</f>
        <v>6.0612394189570491E-3</v>
      </c>
      <c r="K211" s="56">
        <v>1992</v>
      </c>
      <c r="L211" s="136">
        <f>+K211/K213</f>
        <v>7.6008776113707906E-3</v>
      </c>
      <c r="M211" s="87"/>
      <c r="N211" s="94"/>
      <c r="O211" s="6"/>
    </row>
    <row r="212" spans="1:15" ht="15.6" x14ac:dyDescent="0.3">
      <c r="A212" s="26"/>
      <c r="B212" s="57" t="s">
        <v>170</v>
      </c>
      <c r="C212" s="102"/>
      <c r="D212" s="102"/>
      <c r="E212" s="57"/>
      <c r="F212" s="102"/>
      <c r="G212" s="2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27"/>
      <c r="H213" s="27"/>
      <c r="I213" s="37">
        <f>SUM(I204:I212)</f>
        <v>9569</v>
      </c>
      <c r="J213" s="136">
        <f>SUM(J204:J212)</f>
        <v>1</v>
      </c>
      <c r="K213" s="56">
        <f>SUM(K204:K212)</f>
        <v>262075</v>
      </c>
      <c r="L213" s="136">
        <f>SUM(L204:L212)</f>
        <v>0.99999999999999989</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9569</v>
      </c>
      <c r="J215" s="136"/>
      <c r="K215" s="56">
        <f>+K213+K214</f>
        <v>262075</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JANUARY 2007</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700-000000000000}"/>
    <hyperlink ref="K201" r:id="rId2" xr:uid="{00000000-0004-0000-07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89CB31"/>
  </sheetPr>
  <dimension ref="A1:P226"/>
  <sheetViews>
    <sheetView showOutlineSymbols="0" zoomScale="70" zoomScaleNormal="70" workbookViewId="0"/>
  </sheetViews>
  <sheetFormatPr defaultColWidth="9.81640625" defaultRowHeight="15" x14ac:dyDescent="0.25"/>
  <cols>
    <col min="1" max="1" width="4.81640625" style="1" bestFit="1" customWidth="1"/>
    <col min="2" max="2" width="64.81640625" style="1" customWidth="1"/>
    <col min="3" max="3" width="15.453125" style="1" customWidth="1"/>
    <col min="4" max="4" width="10.81640625" style="1" customWidth="1"/>
    <col min="5" max="5" width="13.81640625" style="1" customWidth="1"/>
    <col min="6" max="6" width="8.08984375" style="1" customWidth="1"/>
    <col min="7" max="7" width="15.81640625" style="1" customWidth="1"/>
    <col min="8" max="8" width="8.81640625" style="1" customWidth="1"/>
    <col min="9" max="9" width="19.453125" style="1" customWidth="1"/>
    <col min="10" max="10" width="9.81640625" style="1" customWidth="1"/>
    <col min="11" max="11" width="18.81640625" style="1" customWidth="1"/>
    <col min="12" max="12" width="7.453125" style="1" customWidth="1"/>
    <col min="13" max="13" width="14.81640625" style="1" customWidth="1"/>
    <col min="14" max="14" width="23.453125" style="1" customWidth="1"/>
    <col min="15" max="16384" width="9.81640625" style="1"/>
  </cols>
  <sheetData>
    <row r="1" spans="1:15" ht="20.399999999999999" x14ac:dyDescent="0.35">
      <c r="A1" s="2"/>
      <c r="B1" s="3" t="s">
        <v>148</v>
      </c>
      <c r="C1" s="4"/>
      <c r="D1" s="4"/>
      <c r="E1" s="5"/>
      <c r="F1" s="5"/>
      <c r="G1" s="5"/>
      <c r="H1" s="5"/>
      <c r="I1" s="5"/>
      <c r="J1" s="5"/>
      <c r="K1" s="5"/>
      <c r="L1" s="5"/>
      <c r="M1" s="5"/>
      <c r="N1" s="5"/>
      <c r="O1" s="6"/>
    </row>
    <row r="2" spans="1:15" ht="15.6" x14ac:dyDescent="0.3">
      <c r="A2" s="7"/>
      <c r="B2" s="8"/>
      <c r="C2" s="8"/>
      <c r="D2" s="8"/>
      <c r="E2" s="9"/>
      <c r="F2" s="9"/>
      <c r="G2" s="9"/>
      <c r="H2" s="9"/>
      <c r="I2" s="9"/>
      <c r="J2" s="9"/>
      <c r="K2" s="9"/>
      <c r="L2" s="9"/>
      <c r="M2" s="9"/>
      <c r="N2" s="9"/>
      <c r="O2" s="6"/>
    </row>
    <row r="3" spans="1:15" ht="15.6" x14ac:dyDescent="0.3">
      <c r="A3" s="10"/>
      <c r="B3" s="119" t="s">
        <v>149</v>
      </c>
      <c r="C3" s="9"/>
      <c r="D3" s="9"/>
      <c r="E3" s="9"/>
      <c r="F3" s="9"/>
      <c r="G3" s="9"/>
      <c r="H3" s="9"/>
      <c r="I3" s="9"/>
      <c r="J3" s="9"/>
      <c r="K3" s="9"/>
      <c r="L3" s="9"/>
      <c r="M3" s="9"/>
      <c r="N3" s="9"/>
      <c r="O3" s="6"/>
    </row>
    <row r="4" spans="1:15" ht="15.6" x14ac:dyDescent="0.3">
      <c r="A4" s="7"/>
      <c r="B4" s="8"/>
      <c r="C4" s="8"/>
      <c r="D4" s="8"/>
      <c r="E4" s="9"/>
      <c r="F4" s="9"/>
      <c r="G4" s="9"/>
      <c r="H4" s="9"/>
      <c r="I4" s="9"/>
      <c r="J4" s="9"/>
      <c r="K4" s="9"/>
      <c r="L4" s="9"/>
      <c r="M4" s="9"/>
      <c r="N4" s="9"/>
      <c r="O4" s="6"/>
    </row>
    <row r="5" spans="1:15" ht="16.2" x14ac:dyDescent="0.35">
      <c r="A5" s="7"/>
      <c r="B5" s="12" t="s">
        <v>0</v>
      </c>
      <c r="C5" s="13"/>
      <c r="D5" s="13"/>
      <c r="E5" s="9"/>
      <c r="F5" s="9"/>
      <c r="G5" s="9"/>
      <c r="H5" s="9"/>
      <c r="I5" s="9"/>
      <c r="J5" s="9"/>
      <c r="K5" s="9"/>
      <c r="L5" s="9"/>
      <c r="M5" s="9"/>
      <c r="N5" s="9"/>
      <c r="O5" s="6"/>
    </row>
    <row r="6" spans="1:15" ht="16.2" x14ac:dyDescent="0.35">
      <c r="A6" s="7"/>
      <c r="B6" s="12" t="s">
        <v>1</v>
      </c>
      <c r="C6" s="13"/>
      <c r="D6" s="13"/>
      <c r="E6" s="9"/>
      <c r="F6" s="9"/>
      <c r="G6" s="9"/>
      <c r="H6" s="9"/>
      <c r="I6" s="9"/>
      <c r="J6" s="9"/>
      <c r="K6" s="9"/>
      <c r="L6" s="9"/>
      <c r="M6" s="9"/>
      <c r="N6" s="9"/>
      <c r="O6" s="6"/>
    </row>
    <row r="7" spans="1:15" ht="16.2" x14ac:dyDescent="0.35">
      <c r="A7" s="7"/>
      <c r="B7" s="12" t="s">
        <v>2</v>
      </c>
      <c r="C7" s="13"/>
      <c r="D7" s="13"/>
      <c r="E7" s="9"/>
      <c r="F7" s="9"/>
      <c r="G7" s="9"/>
      <c r="H7" s="9"/>
      <c r="I7" s="9"/>
      <c r="J7" s="9"/>
      <c r="K7" s="9"/>
      <c r="L7" s="9"/>
      <c r="M7" s="9"/>
      <c r="N7" s="9"/>
      <c r="O7" s="6"/>
    </row>
    <row r="8" spans="1:15" ht="16.2" x14ac:dyDescent="0.35">
      <c r="A8" s="7"/>
      <c r="B8" s="12" t="s">
        <v>3</v>
      </c>
      <c r="C8" s="13"/>
      <c r="D8" s="13"/>
      <c r="E8" s="9"/>
      <c r="F8" s="9"/>
      <c r="G8" s="9"/>
      <c r="H8" s="9"/>
      <c r="I8" s="9"/>
      <c r="J8" s="9"/>
      <c r="K8" s="9"/>
      <c r="L8" s="9"/>
      <c r="M8" s="9"/>
      <c r="N8" s="9"/>
      <c r="O8" s="6"/>
    </row>
    <row r="9" spans="1:15" ht="16.2" x14ac:dyDescent="0.35">
      <c r="A9" s="7"/>
      <c r="B9" s="141"/>
      <c r="C9" s="13"/>
      <c r="D9" s="13"/>
      <c r="E9" s="9"/>
      <c r="F9" s="9"/>
      <c r="G9" s="9"/>
      <c r="H9" s="9"/>
      <c r="I9" s="9"/>
      <c r="J9" s="9"/>
      <c r="K9" s="9"/>
      <c r="L9" s="9"/>
      <c r="M9" s="9"/>
      <c r="N9" s="9"/>
      <c r="O9" s="6"/>
    </row>
    <row r="10" spans="1:15" ht="18" x14ac:dyDescent="0.35">
      <c r="A10" s="7"/>
      <c r="B10" s="147" t="s">
        <v>198</v>
      </c>
      <c r="C10" s="13"/>
      <c r="D10" s="13"/>
      <c r="E10" s="9"/>
      <c r="F10" s="9"/>
      <c r="G10" s="9"/>
      <c r="H10" s="9"/>
      <c r="I10" s="152" t="s">
        <v>199</v>
      </c>
      <c r="J10" s="9"/>
      <c r="K10" s="9"/>
      <c r="L10" s="9"/>
      <c r="M10" s="9"/>
      <c r="N10" s="9"/>
      <c r="O10" s="6"/>
    </row>
    <row r="11" spans="1:15" ht="16.2" x14ac:dyDescent="0.35">
      <c r="A11" s="7"/>
      <c r="B11" s="12"/>
      <c r="C11" s="13"/>
      <c r="D11" s="13"/>
      <c r="E11" s="15"/>
      <c r="F11" s="15"/>
      <c r="G11" s="9"/>
      <c r="H11" s="9"/>
      <c r="I11" s="9"/>
      <c r="J11" s="9"/>
      <c r="K11" s="9"/>
      <c r="L11" s="9"/>
      <c r="M11" s="9"/>
      <c r="N11" s="9"/>
      <c r="O11" s="6"/>
    </row>
    <row r="12" spans="1:15" ht="15.6" x14ac:dyDescent="0.3">
      <c r="A12" s="7"/>
      <c r="B12" s="16" t="s">
        <v>4</v>
      </c>
      <c r="C12" s="15"/>
      <c r="D12" s="15"/>
      <c r="E12" s="9"/>
      <c r="F12" s="9"/>
      <c r="G12" s="9"/>
      <c r="H12" s="9"/>
      <c r="I12" s="9"/>
      <c r="J12" s="9"/>
      <c r="K12" s="9"/>
      <c r="L12" s="9"/>
      <c r="M12" s="9"/>
      <c r="N12" s="9"/>
      <c r="O12" s="6"/>
    </row>
    <row r="13" spans="1:15" ht="15.6" x14ac:dyDescent="0.3">
      <c r="A13" s="7"/>
      <c r="B13" s="15"/>
      <c r="C13" s="15"/>
      <c r="D13" s="15"/>
      <c r="E13" s="9"/>
      <c r="F13" s="9"/>
      <c r="G13" s="9"/>
      <c r="H13" s="9"/>
      <c r="I13" s="9"/>
      <c r="J13" s="9"/>
      <c r="K13" s="9"/>
      <c r="L13" s="9"/>
      <c r="M13" s="9"/>
      <c r="N13" s="9"/>
      <c r="O13" s="6"/>
    </row>
    <row r="14" spans="1:15" ht="15.6" x14ac:dyDescent="0.3">
      <c r="A14" s="2"/>
      <c r="B14" s="5"/>
      <c r="C14" s="5"/>
      <c r="D14" s="5"/>
      <c r="E14" s="5"/>
      <c r="F14" s="5"/>
      <c r="G14" s="5"/>
      <c r="H14" s="5"/>
      <c r="I14" s="5"/>
      <c r="J14" s="5"/>
      <c r="K14" s="5"/>
      <c r="L14" s="5"/>
      <c r="M14" s="5"/>
      <c r="N14" s="5"/>
      <c r="O14" s="6"/>
    </row>
    <row r="15" spans="1:15" ht="15.6" x14ac:dyDescent="0.3">
      <c r="A15" s="7"/>
      <c r="B15" s="16" t="s">
        <v>5</v>
      </c>
      <c r="C15" s="16"/>
      <c r="D15" s="16"/>
      <c r="E15" s="17"/>
      <c r="F15" s="17"/>
      <c r="G15" s="17"/>
      <c r="H15" s="17"/>
      <c r="I15" s="17"/>
      <c r="J15" s="17"/>
      <c r="K15" s="17"/>
      <c r="L15" s="17"/>
      <c r="M15" s="18" t="s">
        <v>151</v>
      </c>
      <c r="N15" s="17"/>
      <c r="O15" s="6"/>
    </row>
    <row r="16" spans="1:15" ht="15.6" x14ac:dyDescent="0.3">
      <c r="A16" s="7"/>
      <c r="B16" s="16" t="s">
        <v>6</v>
      </c>
      <c r="C16" s="16"/>
      <c r="D16" s="16"/>
      <c r="E16" s="17"/>
      <c r="F16" s="17"/>
      <c r="G16" s="17"/>
      <c r="H16" s="17"/>
      <c r="I16" s="19"/>
      <c r="J16" s="20"/>
      <c r="K16" s="19" t="s">
        <v>150</v>
      </c>
      <c r="L16" s="20">
        <v>1</v>
      </c>
      <c r="M16" s="18"/>
      <c r="N16" s="17"/>
      <c r="O16" s="6"/>
    </row>
    <row r="17" spans="1:15" ht="15.6" x14ac:dyDescent="0.3">
      <c r="A17" s="7"/>
      <c r="B17" s="16" t="s">
        <v>7</v>
      </c>
      <c r="C17" s="16"/>
      <c r="D17" s="16"/>
      <c r="E17" s="17"/>
      <c r="F17" s="17"/>
      <c r="G17" s="17"/>
      <c r="H17" s="17"/>
      <c r="I17" s="19"/>
      <c r="J17" s="20"/>
      <c r="K17" s="19" t="s">
        <v>150</v>
      </c>
      <c r="L17" s="20">
        <v>1</v>
      </c>
      <c r="M17" s="18"/>
      <c r="N17" s="17"/>
      <c r="O17" s="6"/>
    </row>
    <row r="18" spans="1:15" ht="15.6" x14ac:dyDescent="0.3">
      <c r="A18" s="7"/>
      <c r="B18" s="16" t="s">
        <v>8</v>
      </c>
      <c r="C18" s="16"/>
      <c r="D18" s="16"/>
      <c r="E18" s="17"/>
      <c r="F18" s="17"/>
      <c r="G18" s="17"/>
      <c r="H18" s="17"/>
      <c r="I18" s="17"/>
      <c r="J18" s="17"/>
      <c r="K18" s="17"/>
      <c r="L18" s="17"/>
      <c r="M18" s="21">
        <v>38336</v>
      </c>
      <c r="N18" s="17"/>
      <c r="O18" s="6"/>
    </row>
    <row r="19" spans="1:15" ht="15.6" x14ac:dyDescent="0.3">
      <c r="A19" s="7"/>
      <c r="B19" s="16" t="s">
        <v>9</v>
      </c>
      <c r="C19" s="16"/>
      <c r="D19" s="16"/>
      <c r="E19" s="17"/>
      <c r="F19" s="17"/>
      <c r="G19" s="17"/>
      <c r="H19" s="17"/>
      <c r="I19" s="17"/>
      <c r="J19" s="17"/>
      <c r="K19" s="17"/>
      <c r="L19" s="17"/>
      <c r="M19" s="21">
        <v>39227</v>
      </c>
      <c r="N19" s="17"/>
      <c r="O19" s="6"/>
    </row>
    <row r="20" spans="1:15" ht="15.6" x14ac:dyDescent="0.3">
      <c r="A20" s="7"/>
      <c r="B20" s="9"/>
      <c r="C20" s="9"/>
      <c r="D20" s="9"/>
      <c r="E20" s="9"/>
      <c r="F20" s="9"/>
      <c r="G20" s="9"/>
      <c r="H20" s="9"/>
      <c r="I20" s="9"/>
      <c r="J20" s="9"/>
      <c r="K20" s="9"/>
      <c r="L20" s="9"/>
      <c r="M20" s="22"/>
      <c r="N20" s="9"/>
      <c r="O20" s="6"/>
    </row>
    <row r="21" spans="1:15" ht="15.6" x14ac:dyDescent="0.3">
      <c r="A21" s="7"/>
      <c r="B21" s="23" t="s">
        <v>10</v>
      </c>
      <c r="C21" s="9"/>
      <c r="D21" s="9"/>
      <c r="E21" s="9"/>
      <c r="F21" s="9"/>
      <c r="G21" s="9"/>
      <c r="H21" s="9"/>
      <c r="I21" s="9"/>
      <c r="J21" s="9"/>
      <c r="K21" s="22" t="s">
        <v>130</v>
      </c>
      <c r="L21" s="9"/>
      <c r="M21" s="141"/>
      <c r="N21" s="9"/>
      <c r="O21" s="6"/>
    </row>
    <row r="22" spans="1:15" ht="15.6" x14ac:dyDescent="0.3">
      <c r="A22" s="7"/>
      <c r="B22" s="9"/>
      <c r="C22" s="9"/>
      <c r="D22" s="9"/>
      <c r="E22" s="9"/>
      <c r="F22" s="9"/>
      <c r="G22" s="9"/>
      <c r="H22" s="9"/>
      <c r="I22" s="9"/>
      <c r="J22" s="9"/>
      <c r="K22" s="9"/>
      <c r="L22" s="9"/>
      <c r="M22" s="24"/>
      <c r="N22" s="9"/>
      <c r="O22" s="6"/>
    </row>
    <row r="23" spans="1:15" ht="15.6" x14ac:dyDescent="0.3">
      <c r="A23" s="7"/>
      <c r="B23" s="9"/>
      <c r="C23" s="120" t="s">
        <v>131</v>
      </c>
      <c r="D23" s="120"/>
      <c r="E23" s="120" t="s">
        <v>124</v>
      </c>
      <c r="F23" s="120"/>
      <c r="G23" s="120" t="s">
        <v>152</v>
      </c>
      <c r="H23" s="120"/>
      <c r="I23" s="120"/>
      <c r="J23" s="121"/>
      <c r="K23" s="25"/>
      <c r="L23" s="141"/>
      <c r="M23" s="141"/>
      <c r="N23" s="9"/>
      <c r="O23" s="6"/>
    </row>
    <row r="24" spans="1:15" ht="15.6" x14ac:dyDescent="0.3">
      <c r="A24" s="26"/>
      <c r="B24" s="27" t="s">
        <v>156</v>
      </c>
      <c r="C24" s="28" t="s">
        <v>121</v>
      </c>
      <c r="D24" s="28"/>
      <c r="E24" s="28" t="s">
        <v>125</v>
      </c>
      <c r="F24" s="28"/>
      <c r="G24" s="28" t="s">
        <v>158</v>
      </c>
      <c r="H24" s="28"/>
      <c r="I24" s="28"/>
      <c r="J24" s="28"/>
      <c r="K24" s="28"/>
      <c r="L24" s="142"/>
      <c r="M24" s="142"/>
      <c r="N24" s="27"/>
      <c r="O24" s="6"/>
    </row>
    <row r="25" spans="1:15" ht="15.6" x14ac:dyDescent="0.3">
      <c r="A25" s="26"/>
      <c r="B25" s="27" t="s">
        <v>11</v>
      </c>
      <c r="C25" s="28" t="s">
        <v>121</v>
      </c>
      <c r="D25" s="28"/>
      <c r="E25" s="28" t="s">
        <v>125</v>
      </c>
      <c r="F25" s="28"/>
      <c r="G25" s="28" t="s">
        <v>158</v>
      </c>
      <c r="H25" s="28"/>
      <c r="I25" s="28"/>
      <c r="J25" s="28"/>
      <c r="K25" s="28"/>
      <c r="L25" s="142"/>
      <c r="M25" s="142"/>
      <c r="N25" s="27"/>
      <c r="O25" s="6"/>
    </row>
    <row r="26" spans="1:15" ht="15.6" x14ac:dyDescent="0.3">
      <c r="A26" s="30"/>
      <c r="B26" s="31" t="s">
        <v>157</v>
      </c>
      <c r="C26" s="32" t="s">
        <v>121</v>
      </c>
      <c r="D26" s="32"/>
      <c r="E26" s="32" t="s">
        <v>125</v>
      </c>
      <c r="F26" s="32"/>
      <c r="G26" s="32" t="s">
        <v>158</v>
      </c>
      <c r="H26" s="32"/>
      <c r="I26" s="32"/>
      <c r="J26" s="28"/>
      <c r="K26" s="28"/>
      <c r="L26" s="142"/>
      <c r="M26" s="142"/>
      <c r="N26" s="27"/>
      <c r="O26" s="6"/>
    </row>
    <row r="27" spans="1:15" ht="15.6" x14ac:dyDescent="0.3">
      <c r="A27" s="30"/>
      <c r="B27" s="31" t="s">
        <v>12</v>
      </c>
      <c r="C27" s="32" t="s">
        <v>121</v>
      </c>
      <c r="D27" s="32"/>
      <c r="E27" s="32" t="s">
        <v>125</v>
      </c>
      <c r="F27" s="32"/>
      <c r="G27" s="32" t="s">
        <v>158</v>
      </c>
      <c r="H27" s="32"/>
      <c r="I27" s="32"/>
      <c r="J27" s="28"/>
      <c r="K27" s="28"/>
      <c r="L27" s="142"/>
      <c r="M27" s="142"/>
      <c r="N27" s="27"/>
      <c r="O27" s="6"/>
    </row>
    <row r="28" spans="1:15" ht="15.6" x14ac:dyDescent="0.3">
      <c r="A28" s="26"/>
      <c r="B28" s="27" t="s">
        <v>13</v>
      </c>
      <c r="C28" s="33" t="s">
        <v>153</v>
      </c>
      <c r="D28" s="28"/>
      <c r="E28" s="33" t="s">
        <v>154</v>
      </c>
      <c r="F28" s="28"/>
      <c r="G28" s="33" t="s">
        <v>155</v>
      </c>
      <c r="H28" s="28"/>
      <c r="I28" s="33"/>
      <c r="J28" s="28"/>
      <c r="K28" s="33"/>
      <c r="L28" s="142"/>
      <c r="M28" s="142"/>
      <c r="N28" s="27"/>
      <c r="O28" s="6"/>
    </row>
    <row r="29" spans="1:15" ht="15.6" x14ac:dyDescent="0.3">
      <c r="A29" s="26"/>
      <c r="B29" s="27"/>
      <c r="C29" s="27"/>
      <c r="D29" s="28"/>
      <c r="E29" s="28"/>
      <c r="F29" s="28"/>
      <c r="G29" s="28"/>
      <c r="H29" s="28"/>
      <c r="I29" s="28"/>
      <c r="J29" s="28"/>
      <c r="K29" s="28"/>
      <c r="L29" s="142"/>
      <c r="M29" s="142"/>
      <c r="N29" s="27"/>
      <c r="O29" s="6"/>
    </row>
    <row r="30" spans="1:15" ht="15.6" x14ac:dyDescent="0.3">
      <c r="A30" s="26"/>
      <c r="B30" s="27" t="s">
        <v>14</v>
      </c>
      <c r="C30" s="34">
        <v>231000</v>
      </c>
      <c r="D30" s="35"/>
      <c r="E30" s="34">
        <v>42000</v>
      </c>
      <c r="F30" s="34"/>
      <c r="G30" s="34">
        <v>27000</v>
      </c>
      <c r="H30" s="34"/>
      <c r="I30" s="34"/>
      <c r="J30" s="34"/>
      <c r="K30" s="34"/>
      <c r="L30" s="143"/>
      <c r="M30" s="34">
        <f>C30+E30+G30</f>
        <v>300000</v>
      </c>
      <c r="N30" s="37"/>
      <c r="O30" s="6"/>
    </row>
    <row r="31" spans="1:15" ht="15.6" x14ac:dyDescent="0.3">
      <c r="A31" s="26"/>
      <c r="B31" s="27" t="s">
        <v>15</v>
      </c>
      <c r="C31" s="34">
        <f>C30*C34</f>
        <v>231000</v>
      </c>
      <c r="D31" s="35"/>
      <c r="E31" s="34">
        <v>42000</v>
      </c>
      <c r="F31" s="34"/>
      <c r="G31" s="34">
        <v>27000</v>
      </c>
      <c r="H31" s="34"/>
      <c r="I31" s="34"/>
      <c r="J31" s="34"/>
      <c r="K31" s="34"/>
      <c r="L31" s="143"/>
      <c r="M31" s="34">
        <f>C31+E31+G31</f>
        <v>300000</v>
      </c>
      <c r="N31" s="37"/>
      <c r="O31" s="6"/>
    </row>
    <row r="32" spans="1:15" ht="15.6" x14ac:dyDescent="0.3">
      <c r="A32" s="30"/>
      <c r="B32" s="31" t="s">
        <v>16</v>
      </c>
      <c r="C32" s="38">
        <f>C30*C33</f>
        <v>231000</v>
      </c>
      <c r="D32" s="39"/>
      <c r="E32" s="38">
        <v>42000</v>
      </c>
      <c r="F32" s="38"/>
      <c r="G32" s="38">
        <v>27000</v>
      </c>
      <c r="H32" s="38"/>
      <c r="I32" s="38"/>
      <c r="J32" s="38"/>
      <c r="K32" s="38"/>
      <c r="L32" s="40"/>
      <c r="M32" s="34">
        <f>C32+E32+G32</f>
        <v>300000</v>
      </c>
      <c r="N32" s="37"/>
      <c r="O32" s="6"/>
    </row>
    <row r="33" spans="1:15" ht="15.6" x14ac:dyDescent="0.3">
      <c r="A33" s="30"/>
      <c r="B33" s="130" t="s">
        <v>174</v>
      </c>
      <c r="C33" s="134">
        <v>1</v>
      </c>
      <c r="D33" s="133"/>
      <c r="E33" s="134">
        <v>1</v>
      </c>
      <c r="F33" s="134"/>
      <c r="G33" s="134">
        <v>1</v>
      </c>
      <c r="H33" s="132"/>
      <c r="I33" s="132"/>
      <c r="J33" s="38"/>
      <c r="K33" s="38"/>
      <c r="L33" s="40"/>
      <c r="M33" s="38"/>
      <c r="N33" s="37"/>
      <c r="O33" s="6"/>
    </row>
    <row r="34" spans="1:15" ht="15.6" x14ac:dyDescent="0.3">
      <c r="A34" s="30"/>
      <c r="B34" s="130" t="s">
        <v>175</v>
      </c>
      <c r="C34" s="134">
        <v>1</v>
      </c>
      <c r="D34" s="133"/>
      <c r="E34" s="134">
        <v>1</v>
      </c>
      <c r="F34" s="134"/>
      <c r="G34" s="134">
        <v>1</v>
      </c>
      <c r="H34" s="132"/>
      <c r="I34" s="132"/>
      <c r="J34" s="38"/>
      <c r="K34" s="38"/>
      <c r="L34" s="40"/>
      <c r="M34" s="38"/>
      <c r="N34" s="37"/>
      <c r="O34" s="6"/>
    </row>
    <row r="35" spans="1:15" ht="15.6" x14ac:dyDescent="0.3">
      <c r="A35" s="26"/>
      <c r="B35" s="27" t="s">
        <v>17</v>
      </c>
      <c r="C35" s="33" t="s">
        <v>159</v>
      </c>
      <c r="D35" s="27"/>
      <c r="E35" s="33" t="s">
        <v>160</v>
      </c>
      <c r="F35" s="33"/>
      <c r="G35" s="33" t="s">
        <v>161</v>
      </c>
      <c r="H35" s="33"/>
      <c r="I35" s="33"/>
      <c r="J35" s="33"/>
      <c r="K35" s="33"/>
      <c r="L35" s="142"/>
      <c r="M35" s="142"/>
      <c r="N35" s="27"/>
      <c r="O35" s="6"/>
    </row>
    <row r="36" spans="1:15" ht="15.6" x14ac:dyDescent="0.3">
      <c r="A36" s="26"/>
      <c r="B36" s="27" t="s">
        <v>18</v>
      </c>
      <c r="C36" s="41">
        <v>5.7356299999999999E-2</v>
      </c>
      <c r="D36" s="27"/>
      <c r="E36" s="41">
        <v>6.2856300000000004E-2</v>
      </c>
      <c r="F36" s="42"/>
      <c r="G36" s="41">
        <v>6.5356300000000006E-2</v>
      </c>
      <c r="H36" s="42"/>
      <c r="I36" s="41"/>
      <c r="J36" s="42"/>
      <c r="K36" s="41"/>
      <c r="L36" s="142"/>
      <c r="M36" s="42">
        <f>SUMPRODUCT(C36:G36,C31:G31)/M31</f>
        <v>5.8846299999999997E-2</v>
      </c>
      <c r="N36" s="27"/>
      <c r="O36" s="6"/>
    </row>
    <row r="37" spans="1:15" ht="15.6" x14ac:dyDescent="0.3">
      <c r="A37" s="26"/>
      <c r="B37" s="27" t="s">
        <v>19</v>
      </c>
      <c r="C37" s="41">
        <v>5.4274999999999997E-2</v>
      </c>
      <c r="D37" s="27"/>
      <c r="E37" s="41">
        <v>5.9775000000000002E-2</v>
      </c>
      <c r="F37" s="42"/>
      <c r="G37" s="41">
        <v>6.2274999999999997E-2</v>
      </c>
      <c r="H37" s="42"/>
      <c r="I37" s="41"/>
      <c r="J37" s="42"/>
      <c r="K37" s="41"/>
      <c r="L37" s="142"/>
      <c r="M37" s="142"/>
      <c r="N37" s="27"/>
      <c r="O37" s="6"/>
    </row>
    <row r="38" spans="1:15" ht="15.6" x14ac:dyDescent="0.3">
      <c r="A38" s="26"/>
      <c r="B38" s="27" t="s">
        <v>20</v>
      </c>
      <c r="C38" s="118">
        <v>39767</v>
      </c>
      <c r="D38" s="118"/>
      <c r="E38" s="118">
        <v>39767</v>
      </c>
      <c r="F38" s="118"/>
      <c r="G38" s="118">
        <v>39767</v>
      </c>
      <c r="H38" s="118"/>
      <c r="I38" s="118"/>
      <c r="J38" s="33"/>
      <c r="K38" s="33"/>
      <c r="L38" s="142"/>
      <c r="M38" s="142"/>
      <c r="N38" s="27"/>
      <c r="O38" s="6"/>
    </row>
    <row r="39" spans="1:15" ht="15.6" x14ac:dyDescent="0.3">
      <c r="A39" s="26"/>
      <c r="B39" s="27" t="s">
        <v>21</v>
      </c>
      <c r="C39" s="118">
        <v>40132</v>
      </c>
      <c r="D39" s="118"/>
      <c r="E39" s="118">
        <v>40132</v>
      </c>
      <c r="F39" s="118"/>
      <c r="G39" s="118">
        <v>40132</v>
      </c>
      <c r="H39" s="118"/>
      <c r="I39" s="118"/>
      <c r="J39" s="33"/>
      <c r="K39" s="33"/>
      <c r="L39" s="142"/>
      <c r="M39" s="142"/>
      <c r="N39" s="27"/>
      <c r="O39" s="6"/>
    </row>
    <row r="40" spans="1:15" ht="15.6" x14ac:dyDescent="0.3">
      <c r="A40" s="26"/>
      <c r="B40" s="27" t="s">
        <v>22</v>
      </c>
      <c r="C40" s="33" t="s">
        <v>164</v>
      </c>
      <c r="D40" s="27"/>
      <c r="E40" s="33" t="s">
        <v>163</v>
      </c>
      <c r="F40" s="33"/>
      <c r="G40" s="33" t="s">
        <v>162</v>
      </c>
      <c r="H40" s="33"/>
      <c r="I40" s="33"/>
      <c r="J40" s="33"/>
      <c r="K40" s="33"/>
      <c r="L40" s="142"/>
      <c r="M40" s="142"/>
      <c r="N40" s="27"/>
      <c r="O40" s="6"/>
    </row>
    <row r="41" spans="1:15" ht="15.6" x14ac:dyDescent="0.3">
      <c r="A41" s="26"/>
      <c r="B41" s="27"/>
      <c r="C41" s="27"/>
      <c r="D41" s="27"/>
      <c r="E41" s="41"/>
      <c r="F41" s="27"/>
      <c r="G41" s="41"/>
      <c r="H41" s="33"/>
      <c r="I41" s="33"/>
      <c r="J41" s="43"/>
      <c r="K41" s="43"/>
      <c r="L41" s="43"/>
      <c r="M41" s="43"/>
      <c r="N41" s="27"/>
      <c r="O41" s="6"/>
    </row>
    <row r="42" spans="1:15" ht="15.6" x14ac:dyDescent="0.3">
      <c r="A42" s="26"/>
      <c r="B42" s="27" t="s">
        <v>178</v>
      </c>
      <c r="C42" s="27"/>
      <c r="D42" s="27"/>
      <c r="E42" s="44"/>
      <c r="F42" s="27"/>
      <c r="G42" s="44"/>
      <c r="H42" s="27"/>
      <c r="I42" s="44"/>
      <c r="J42" s="27"/>
      <c r="K42" s="27"/>
      <c r="L42" s="27"/>
      <c r="M42" s="42">
        <f>(E30+G30)/C30</f>
        <v>0.29870129870129869</v>
      </c>
      <c r="N42" s="27"/>
      <c r="O42" s="6"/>
    </row>
    <row r="43" spans="1:15" ht="15.6" x14ac:dyDescent="0.3">
      <c r="A43" s="26"/>
      <c r="B43" s="27" t="s">
        <v>179</v>
      </c>
      <c r="C43" s="27"/>
      <c r="D43" s="27"/>
      <c r="E43" s="44"/>
      <c r="F43" s="27"/>
      <c r="G43" s="44"/>
      <c r="H43" s="27"/>
      <c r="I43" s="44"/>
      <c r="J43" s="27"/>
      <c r="K43" s="27"/>
      <c r="L43" s="27"/>
      <c r="M43" s="42">
        <f>(G32+E32)/C32</f>
        <v>0.29870129870129869</v>
      </c>
      <c r="N43" s="27"/>
      <c r="O43" s="6"/>
    </row>
    <row r="44" spans="1:15" ht="15.6" x14ac:dyDescent="0.3">
      <c r="A44" s="26"/>
      <c r="B44" s="27" t="s">
        <v>23</v>
      </c>
      <c r="C44" s="27"/>
      <c r="D44" s="27"/>
      <c r="E44" s="27"/>
      <c r="F44" s="27"/>
      <c r="G44" s="27"/>
      <c r="H44" s="27"/>
      <c r="I44" s="27"/>
      <c r="J44" s="27"/>
      <c r="K44" s="33" t="s">
        <v>131</v>
      </c>
      <c r="L44" s="33" t="s">
        <v>138</v>
      </c>
      <c r="M44" s="34">
        <f>+M30/2-E30-G30</f>
        <v>81000</v>
      </c>
      <c r="N44" s="27"/>
      <c r="O44" s="6"/>
    </row>
    <row r="45" spans="1:15" ht="15.6" x14ac:dyDescent="0.3">
      <c r="A45" s="26"/>
      <c r="B45" s="27"/>
      <c r="C45" s="27"/>
      <c r="D45" s="27"/>
      <c r="E45" s="27"/>
      <c r="F45" s="27"/>
      <c r="G45" s="27"/>
      <c r="H45" s="27"/>
      <c r="I45" s="27"/>
      <c r="J45" s="27"/>
      <c r="K45" s="27" t="s">
        <v>235</v>
      </c>
      <c r="L45" s="27"/>
      <c r="M45" s="45"/>
      <c r="N45" s="27"/>
      <c r="O45" s="6"/>
    </row>
    <row r="46" spans="1:15" ht="15.6" x14ac:dyDescent="0.3">
      <c r="A46" s="26"/>
      <c r="B46" s="27" t="s">
        <v>24</v>
      </c>
      <c r="C46" s="27"/>
      <c r="D46" s="27"/>
      <c r="E46" s="27"/>
      <c r="F46" s="27"/>
      <c r="G46" s="27"/>
      <c r="H46" s="27"/>
      <c r="I46" s="27"/>
      <c r="J46" s="27"/>
      <c r="K46" s="33"/>
      <c r="L46" s="33"/>
      <c r="M46" s="33" t="s">
        <v>140</v>
      </c>
      <c r="N46" s="27"/>
      <c r="O46" s="6"/>
    </row>
    <row r="47" spans="1:15" ht="15.6" x14ac:dyDescent="0.3">
      <c r="A47" s="26"/>
      <c r="B47" s="31" t="s">
        <v>25</v>
      </c>
      <c r="C47" s="31"/>
      <c r="D47" s="31"/>
      <c r="E47" s="31"/>
      <c r="F47" s="31"/>
      <c r="G47" s="31"/>
      <c r="H47" s="31"/>
      <c r="I47" s="31"/>
      <c r="J47" s="31"/>
      <c r="K47" s="46"/>
      <c r="L47" s="46"/>
      <c r="M47" s="47">
        <v>39217</v>
      </c>
      <c r="N47" s="27"/>
      <c r="O47" s="6"/>
    </row>
    <row r="48" spans="1:15" ht="15.6" x14ac:dyDescent="0.3">
      <c r="A48" s="26"/>
      <c r="B48" s="27" t="s">
        <v>26</v>
      </c>
      <c r="C48" s="27"/>
      <c r="D48" s="27"/>
      <c r="E48" s="27"/>
      <c r="F48" s="27"/>
      <c r="G48" s="27"/>
      <c r="H48" s="27"/>
      <c r="I48" s="27"/>
      <c r="J48" s="27">
        <f>M48-K48+1</f>
        <v>92</v>
      </c>
      <c r="K48" s="48">
        <v>39036</v>
      </c>
      <c r="L48" s="49"/>
      <c r="M48" s="48">
        <v>39127</v>
      </c>
      <c r="N48" s="27"/>
      <c r="O48" s="6"/>
    </row>
    <row r="49" spans="1:15" ht="15.6" x14ac:dyDescent="0.3">
      <c r="A49" s="26"/>
      <c r="B49" s="27" t="s">
        <v>27</v>
      </c>
      <c r="C49" s="27"/>
      <c r="D49" s="27"/>
      <c r="E49" s="27"/>
      <c r="F49" s="27"/>
      <c r="G49" s="27"/>
      <c r="H49" s="27"/>
      <c r="I49" s="27"/>
      <c r="J49" s="27">
        <f>M49-K49+1</f>
        <v>89</v>
      </c>
      <c r="K49" s="48">
        <v>39128</v>
      </c>
      <c r="L49" s="49"/>
      <c r="M49" s="48">
        <v>39216</v>
      </c>
      <c r="N49" s="27"/>
      <c r="O49" s="6"/>
    </row>
    <row r="50" spans="1:15" ht="15.6" x14ac:dyDescent="0.3">
      <c r="A50" s="26"/>
      <c r="B50" s="27" t="s">
        <v>28</v>
      </c>
      <c r="C50" s="27"/>
      <c r="D50" s="27"/>
      <c r="E50" s="27"/>
      <c r="F50" s="27"/>
      <c r="G50" s="27"/>
      <c r="H50" s="27"/>
      <c r="I50" s="27"/>
      <c r="J50" s="27"/>
      <c r="K50" s="48"/>
      <c r="L50" s="49"/>
      <c r="M50" s="48" t="s">
        <v>141</v>
      </c>
      <c r="N50" s="27"/>
      <c r="O50" s="6"/>
    </row>
    <row r="51" spans="1:15" ht="15.6" x14ac:dyDescent="0.3">
      <c r="A51" s="26"/>
      <c r="B51" s="27" t="s">
        <v>29</v>
      </c>
      <c r="C51" s="27"/>
      <c r="D51" s="27"/>
      <c r="E51" s="27"/>
      <c r="F51" s="27"/>
      <c r="G51" s="27"/>
      <c r="H51" s="27"/>
      <c r="I51" s="27"/>
      <c r="J51" s="27"/>
      <c r="K51" s="48"/>
      <c r="L51" s="49"/>
      <c r="M51" s="48">
        <v>39203</v>
      </c>
      <c r="N51" s="27"/>
      <c r="O51" s="6"/>
    </row>
    <row r="52" spans="1:15" ht="15.6" x14ac:dyDescent="0.3">
      <c r="A52" s="26"/>
      <c r="B52" s="27"/>
      <c r="C52" s="27"/>
      <c r="D52" s="27"/>
      <c r="E52" s="27"/>
      <c r="F52" s="27"/>
      <c r="G52" s="27"/>
      <c r="H52" s="27"/>
      <c r="I52" s="27"/>
      <c r="J52" s="27"/>
      <c r="K52" s="48"/>
      <c r="L52" s="49"/>
      <c r="M52" s="48"/>
      <c r="N52" s="27"/>
      <c r="O52" s="6"/>
    </row>
    <row r="53" spans="1:15" ht="15.6" x14ac:dyDescent="0.3">
      <c r="A53" s="7"/>
      <c r="B53" s="9"/>
      <c r="C53" s="9"/>
      <c r="D53" s="9"/>
      <c r="E53" s="9"/>
      <c r="F53" s="9"/>
      <c r="G53" s="9"/>
      <c r="H53" s="9"/>
      <c r="I53" s="9"/>
      <c r="J53" s="9"/>
      <c r="K53" s="50"/>
      <c r="L53" s="51"/>
      <c r="M53" s="50"/>
      <c r="N53" s="9"/>
      <c r="O53" s="6"/>
    </row>
    <row r="54" spans="1:15" ht="18" thickBot="1" x14ac:dyDescent="0.35">
      <c r="A54" s="109"/>
      <c r="B54" s="110" t="s">
        <v>213</v>
      </c>
      <c r="C54" s="111"/>
      <c r="D54" s="111"/>
      <c r="E54" s="111"/>
      <c r="F54" s="111"/>
      <c r="G54" s="111"/>
      <c r="H54" s="111"/>
      <c r="I54" s="111"/>
      <c r="J54" s="111"/>
      <c r="K54" s="111"/>
      <c r="L54" s="111"/>
      <c r="M54" s="112"/>
      <c r="N54" s="113"/>
      <c r="O54" s="6"/>
    </row>
    <row r="55" spans="1:15" ht="15.6" x14ac:dyDescent="0.3">
      <c r="A55" s="2"/>
      <c r="B55" s="5"/>
      <c r="C55" s="5"/>
      <c r="D55" s="5"/>
      <c r="E55" s="5"/>
      <c r="F55" s="5"/>
      <c r="G55" s="5"/>
      <c r="H55" s="5"/>
      <c r="I55" s="5"/>
      <c r="J55" s="5"/>
      <c r="K55" s="5"/>
      <c r="L55" s="5"/>
      <c r="M55" s="53"/>
      <c r="N55" s="5"/>
      <c r="O55" s="6"/>
    </row>
    <row r="56" spans="1:15" ht="15.6" x14ac:dyDescent="0.3">
      <c r="A56" s="7"/>
      <c r="B56" s="54" t="s">
        <v>30</v>
      </c>
      <c r="C56" s="15"/>
      <c r="D56" s="15"/>
      <c r="E56" s="9"/>
      <c r="F56" s="9"/>
      <c r="G56" s="9"/>
      <c r="H56" s="9"/>
      <c r="I56" s="9"/>
      <c r="J56" s="9"/>
      <c r="K56" s="9"/>
      <c r="L56" s="9"/>
      <c r="M56" s="55"/>
      <c r="N56" s="9"/>
      <c r="O56" s="6"/>
    </row>
    <row r="57" spans="1:15" ht="15.6" x14ac:dyDescent="0.3">
      <c r="A57" s="7"/>
      <c r="B57" s="15"/>
      <c r="C57" s="15"/>
      <c r="D57" s="15"/>
      <c r="E57" s="9"/>
      <c r="F57" s="9"/>
      <c r="G57" s="9"/>
      <c r="H57" s="9"/>
      <c r="I57" s="9"/>
      <c r="J57" s="9"/>
      <c r="K57" s="9"/>
      <c r="L57" s="9"/>
      <c r="M57" s="55"/>
      <c r="N57" s="9"/>
      <c r="O57" s="6"/>
    </row>
    <row r="58" spans="1:15" ht="46.8" x14ac:dyDescent="0.3">
      <c r="A58" s="7"/>
      <c r="B58" s="122" t="s">
        <v>31</v>
      </c>
      <c r="C58" s="123" t="s">
        <v>119</v>
      </c>
      <c r="D58" s="123"/>
      <c r="E58" s="123" t="s">
        <v>122</v>
      </c>
      <c r="F58" s="123"/>
      <c r="G58" s="123" t="s">
        <v>123</v>
      </c>
      <c r="H58" s="123"/>
      <c r="I58" s="123" t="s">
        <v>126</v>
      </c>
      <c r="J58" s="123"/>
      <c r="K58" s="123" t="s">
        <v>132</v>
      </c>
      <c r="L58" s="123"/>
      <c r="M58" s="124" t="s">
        <v>142</v>
      </c>
      <c r="N58" s="125"/>
      <c r="O58" s="6"/>
    </row>
    <row r="59" spans="1:15" ht="15.6" x14ac:dyDescent="0.3">
      <c r="A59" s="26"/>
      <c r="B59" s="27" t="s">
        <v>32</v>
      </c>
      <c r="C59" s="37">
        <f>240614-323</f>
        <v>240291</v>
      </c>
      <c r="D59" s="37"/>
      <c r="E59" s="56">
        <v>262075</v>
      </c>
      <c r="F59" s="37"/>
      <c r="G59" s="37">
        <f>29686+2976+307+520+9</f>
        <v>33498</v>
      </c>
      <c r="H59" s="37"/>
      <c r="I59" s="37">
        <f>31878+512</f>
        <v>32390</v>
      </c>
      <c r="J59" s="37"/>
      <c r="K59" s="37">
        <v>0</v>
      </c>
      <c r="L59" s="37"/>
      <c r="M59" s="56">
        <f>E59-G59+I59-K59</f>
        <v>260967</v>
      </c>
      <c r="N59" s="27"/>
      <c r="O59" s="6"/>
    </row>
    <row r="60" spans="1:15" ht="15.6" x14ac:dyDescent="0.3">
      <c r="A60" s="26"/>
      <c r="B60" s="27" t="s">
        <v>33</v>
      </c>
      <c r="C60" s="37">
        <f>748-206</f>
        <v>542</v>
      </c>
      <c r="D60" s="37"/>
      <c r="E60" s="56">
        <v>0</v>
      </c>
      <c r="F60" s="37"/>
      <c r="G60" s="37">
        <v>0</v>
      </c>
      <c r="H60" s="37"/>
      <c r="I60" s="37">
        <v>0</v>
      </c>
      <c r="J60" s="37"/>
      <c r="K60" s="37">
        <v>0</v>
      </c>
      <c r="L60" s="37"/>
      <c r="M60" s="56">
        <f>E60-G60+I60-K60</f>
        <v>0</v>
      </c>
      <c r="N60" s="27"/>
      <c r="O60" s="6"/>
    </row>
    <row r="61" spans="1:15" ht="15.6" x14ac:dyDescent="0.3">
      <c r="A61" s="26"/>
      <c r="B61" s="27"/>
      <c r="C61" s="37"/>
      <c r="D61" s="37"/>
      <c r="E61" s="56"/>
      <c r="F61" s="37"/>
      <c r="G61" s="37">
        <v>0</v>
      </c>
      <c r="H61" s="37"/>
      <c r="I61" s="37">
        <v>0</v>
      </c>
      <c r="J61" s="37"/>
      <c r="K61" s="37">
        <v>0</v>
      </c>
      <c r="L61" s="37"/>
      <c r="M61" s="56">
        <f>E61-G61+I61-K61</f>
        <v>0</v>
      </c>
      <c r="N61" s="27"/>
      <c r="O61" s="6"/>
    </row>
    <row r="62" spans="1:15" ht="15.6" x14ac:dyDescent="0.3">
      <c r="A62" s="26"/>
      <c r="B62" s="27"/>
      <c r="C62" s="37"/>
      <c r="D62" s="37"/>
      <c r="E62" s="56"/>
      <c r="F62" s="37"/>
      <c r="G62" s="37"/>
      <c r="H62" s="37"/>
      <c r="I62" s="37"/>
      <c r="J62" s="37"/>
      <c r="K62" s="37"/>
      <c r="L62" s="37"/>
      <c r="M62" s="56"/>
      <c r="N62" s="27"/>
      <c r="O62" s="6"/>
    </row>
    <row r="63" spans="1:15" ht="15.6" x14ac:dyDescent="0.3">
      <c r="A63" s="26"/>
      <c r="B63" s="27" t="s">
        <v>34</v>
      </c>
      <c r="C63" s="37">
        <f>SUM(C59:C62)</f>
        <v>240833</v>
      </c>
      <c r="D63" s="37"/>
      <c r="E63" s="57">
        <f>E59+E60+E61</f>
        <v>262075</v>
      </c>
      <c r="F63" s="37"/>
      <c r="G63" s="37">
        <f>SUM(G59:G62)</f>
        <v>33498</v>
      </c>
      <c r="H63" s="37"/>
      <c r="I63" s="37">
        <f>SUM(I59:I62)</f>
        <v>32390</v>
      </c>
      <c r="J63" s="37"/>
      <c r="K63" s="37">
        <f>SUM(K59:K62)</f>
        <v>0</v>
      </c>
      <c r="L63" s="37"/>
      <c r="M63" s="57">
        <f>SUM(M59:M62)</f>
        <v>260967</v>
      </c>
      <c r="N63" s="27"/>
      <c r="O63" s="6"/>
    </row>
    <row r="64" spans="1:15" ht="15.6" x14ac:dyDescent="0.3">
      <c r="A64" s="26"/>
      <c r="B64" s="27"/>
      <c r="C64" s="37"/>
      <c r="D64" s="37"/>
      <c r="E64" s="37"/>
      <c r="F64" s="37"/>
      <c r="G64" s="37"/>
      <c r="H64" s="37"/>
      <c r="I64" s="37"/>
      <c r="J64" s="37"/>
      <c r="K64" s="37"/>
      <c r="L64" s="37"/>
      <c r="M64" s="57"/>
      <c r="N64" s="27"/>
      <c r="O64" s="6"/>
    </row>
    <row r="65" spans="1:16" ht="15.6" x14ac:dyDescent="0.3">
      <c r="A65" s="7"/>
      <c r="B65" s="119" t="s">
        <v>35</v>
      </c>
      <c r="C65" s="58"/>
      <c r="D65" s="58"/>
      <c r="E65" s="58"/>
      <c r="F65" s="58"/>
      <c r="G65" s="58"/>
      <c r="H65" s="58"/>
      <c r="I65" s="58"/>
      <c r="J65" s="58"/>
      <c r="K65" s="58"/>
      <c r="L65" s="58"/>
      <c r="M65" s="59"/>
      <c r="N65" s="9"/>
      <c r="O65" s="6"/>
    </row>
    <row r="66" spans="1:16" ht="15.6" x14ac:dyDescent="0.3">
      <c r="A66" s="7"/>
      <c r="B66" s="9"/>
      <c r="C66" s="58"/>
      <c r="D66" s="58"/>
      <c r="E66" s="58"/>
      <c r="F66" s="58"/>
      <c r="G66" s="58"/>
      <c r="H66" s="58"/>
      <c r="I66" s="58"/>
      <c r="J66" s="58"/>
      <c r="K66" s="58"/>
      <c r="L66" s="58"/>
      <c r="M66" s="59"/>
      <c r="N66" s="9"/>
      <c r="O66" s="6"/>
    </row>
    <row r="67" spans="1:16" ht="15.6" x14ac:dyDescent="0.3">
      <c r="A67" s="26"/>
      <c r="B67" s="27" t="s">
        <v>32</v>
      </c>
      <c r="C67" s="37"/>
      <c r="D67" s="37"/>
      <c r="E67" s="37"/>
      <c r="F67" s="37"/>
      <c r="G67" s="37"/>
      <c r="H67" s="37"/>
      <c r="I67" s="37"/>
      <c r="J67" s="37"/>
      <c r="K67" s="37"/>
      <c r="L67" s="37"/>
      <c r="M67" s="57"/>
      <c r="N67" s="27"/>
      <c r="O67" s="6"/>
    </row>
    <row r="68" spans="1:16" ht="15.6" x14ac:dyDescent="0.3">
      <c r="A68" s="26"/>
      <c r="B68" s="27" t="s">
        <v>33</v>
      </c>
      <c r="C68" s="37"/>
      <c r="D68" s="37"/>
      <c r="E68" s="37"/>
      <c r="F68" s="37"/>
      <c r="G68" s="37"/>
      <c r="H68" s="37"/>
      <c r="I68" s="37"/>
      <c r="J68" s="37"/>
      <c r="K68" s="37"/>
      <c r="L68" s="37"/>
      <c r="M68" s="57"/>
      <c r="N68" s="27"/>
      <c r="O68" s="6"/>
    </row>
    <row r="69" spans="1:16" ht="15.6" x14ac:dyDescent="0.3">
      <c r="A69" s="26"/>
      <c r="B69" s="27"/>
      <c r="C69" s="37"/>
      <c r="D69" s="37"/>
      <c r="E69" s="37"/>
      <c r="F69" s="37"/>
      <c r="G69" s="37"/>
      <c r="H69" s="37"/>
      <c r="I69" s="37"/>
      <c r="J69" s="37"/>
      <c r="K69" s="37"/>
      <c r="L69" s="37"/>
      <c r="M69" s="57"/>
      <c r="N69" s="27"/>
      <c r="O69" s="6"/>
    </row>
    <row r="70" spans="1:16" ht="15.6" x14ac:dyDescent="0.3">
      <c r="A70" s="26"/>
      <c r="B70" s="27" t="s">
        <v>34</v>
      </c>
      <c r="C70" s="37"/>
      <c r="D70" s="37"/>
      <c r="E70" s="37"/>
      <c r="F70" s="37"/>
      <c r="G70" s="37"/>
      <c r="H70" s="37"/>
      <c r="I70" s="37"/>
      <c r="J70" s="37"/>
      <c r="K70" s="37"/>
      <c r="L70" s="37"/>
      <c r="M70" s="37"/>
      <c r="N70" s="27"/>
      <c r="O70" s="6"/>
    </row>
    <row r="71" spans="1:16" ht="15.6" x14ac:dyDescent="0.3">
      <c r="A71" s="26"/>
      <c r="B71" s="27"/>
      <c r="C71" s="37"/>
      <c r="D71" s="37"/>
      <c r="E71" s="37"/>
      <c r="F71" s="37"/>
      <c r="G71" s="37"/>
      <c r="H71" s="37"/>
      <c r="I71" s="37"/>
      <c r="J71" s="37"/>
      <c r="K71" s="37"/>
      <c r="L71" s="37"/>
      <c r="M71" s="37"/>
      <c r="N71" s="27"/>
      <c r="O71" s="6"/>
    </row>
    <row r="72" spans="1:16" ht="15.6" x14ac:dyDescent="0.3">
      <c r="A72" s="26"/>
      <c r="B72" s="27" t="s">
        <v>36</v>
      </c>
      <c r="C72" s="37">
        <v>0</v>
      </c>
      <c r="D72" s="37"/>
      <c r="E72" s="37">
        <v>0</v>
      </c>
      <c r="F72" s="37"/>
      <c r="G72" s="37"/>
      <c r="H72" s="37"/>
      <c r="I72" s="37"/>
      <c r="J72" s="37"/>
      <c r="K72" s="37"/>
      <c r="L72" s="37"/>
      <c r="M72" s="57">
        <v>0</v>
      </c>
      <c r="N72" s="27"/>
      <c r="O72" s="6"/>
    </row>
    <row r="73" spans="1:16" ht="15.6" x14ac:dyDescent="0.3">
      <c r="A73" s="26"/>
      <c r="B73" s="27" t="s">
        <v>147</v>
      </c>
      <c r="C73" s="37">
        <f>59167</f>
        <v>59167</v>
      </c>
      <c r="D73" s="37"/>
      <c r="E73" s="37">
        <v>0</v>
      </c>
      <c r="F73" s="37"/>
      <c r="G73" s="37"/>
      <c r="H73" s="37"/>
      <c r="I73" s="37">
        <v>0</v>
      </c>
      <c r="J73" s="37"/>
      <c r="K73" s="37"/>
      <c r="L73" s="37"/>
      <c r="M73" s="57">
        <f>+E73+I73</f>
        <v>0</v>
      </c>
      <c r="N73" s="27"/>
      <c r="O73" s="6"/>
    </row>
    <row r="74" spans="1:16" ht="15.6" x14ac:dyDescent="0.3">
      <c r="A74" s="26"/>
      <c r="B74" s="27" t="s">
        <v>171</v>
      </c>
      <c r="C74" s="37">
        <v>0</v>
      </c>
      <c r="D74" s="37"/>
      <c r="E74" s="37">
        <v>37925</v>
      </c>
      <c r="F74" s="37"/>
      <c r="G74" s="37"/>
      <c r="H74" s="37"/>
      <c r="I74" s="37"/>
      <c r="J74" s="37"/>
      <c r="K74" s="37"/>
      <c r="L74" s="37"/>
      <c r="M74" s="57">
        <f>K112-M73</f>
        <v>39033</v>
      </c>
      <c r="N74" s="27"/>
      <c r="O74" s="6"/>
      <c r="P74" s="117"/>
    </row>
    <row r="75" spans="1:16" ht="15.6" x14ac:dyDescent="0.3">
      <c r="A75" s="26"/>
      <c r="B75" s="27" t="s">
        <v>38</v>
      </c>
      <c r="C75" s="37">
        <v>0</v>
      </c>
      <c r="D75" s="37"/>
      <c r="E75" s="37">
        <v>0</v>
      </c>
      <c r="F75" s="37"/>
      <c r="G75" s="37"/>
      <c r="H75" s="37"/>
      <c r="I75" s="37"/>
      <c r="J75" s="37"/>
      <c r="K75" s="37"/>
      <c r="L75" s="37"/>
      <c r="M75" s="57">
        <v>0</v>
      </c>
      <c r="N75" s="27"/>
      <c r="O75" s="6"/>
      <c r="P75" s="117"/>
    </row>
    <row r="76" spans="1:16" ht="15.6" x14ac:dyDescent="0.3">
      <c r="A76" s="26"/>
      <c r="B76" s="27" t="s">
        <v>39</v>
      </c>
      <c r="C76" s="57">
        <f>SUM(C63:C75)</f>
        <v>300000</v>
      </c>
      <c r="D76" s="57"/>
      <c r="E76" s="57">
        <f>SUM(E63:E75)</f>
        <v>300000</v>
      </c>
      <c r="F76" s="37"/>
      <c r="G76" s="57"/>
      <c r="H76" s="37"/>
      <c r="I76" s="57"/>
      <c r="J76" s="37"/>
      <c r="K76" s="57"/>
      <c r="L76" s="37"/>
      <c r="M76" s="57">
        <f>SUM(M63:M75)</f>
        <v>300000</v>
      </c>
      <c r="N76" s="27"/>
      <c r="O76" s="6"/>
    </row>
    <row r="77" spans="1:16" ht="15.6" x14ac:dyDescent="0.3">
      <c r="A77" s="26"/>
      <c r="B77" s="27"/>
      <c r="C77" s="37"/>
      <c r="D77" s="37"/>
      <c r="E77" s="37"/>
      <c r="F77" s="37"/>
      <c r="G77" s="37"/>
      <c r="H77" s="37"/>
      <c r="I77" s="37"/>
      <c r="J77" s="37"/>
      <c r="K77" s="37"/>
      <c r="L77" s="37"/>
      <c r="M77" s="57"/>
      <c r="N77" s="27"/>
      <c r="O77" s="6"/>
    </row>
    <row r="78" spans="1:16" ht="15.6" x14ac:dyDescent="0.3">
      <c r="A78" s="7"/>
      <c r="B78" s="9"/>
      <c r="C78" s="9"/>
      <c r="D78" s="9"/>
      <c r="E78" s="9"/>
      <c r="F78" s="9"/>
      <c r="G78" s="9"/>
      <c r="H78" s="9"/>
      <c r="I78" s="9"/>
      <c r="J78" s="9"/>
      <c r="K78" s="9"/>
      <c r="L78" s="9"/>
      <c r="M78" s="9"/>
      <c r="N78" s="9"/>
      <c r="O78" s="6"/>
    </row>
    <row r="79" spans="1:16" ht="15.6" x14ac:dyDescent="0.3">
      <c r="A79" s="7"/>
      <c r="B79" s="54" t="s">
        <v>40</v>
      </c>
      <c r="C79" s="155" t="s">
        <v>120</v>
      </c>
      <c r="D79" s="154">
        <v>39202</v>
      </c>
      <c r="E79" s="16"/>
      <c r="F79" s="16"/>
      <c r="G79" s="16"/>
      <c r="H79" s="16"/>
      <c r="I79" s="16"/>
      <c r="J79" s="19"/>
      <c r="K79" s="19" t="s">
        <v>133</v>
      </c>
      <c r="L79" s="19"/>
      <c r="M79" s="19" t="s">
        <v>143</v>
      </c>
      <c r="N79" s="9"/>
      <c r="O79" s="6"/>
    </row>
    <row r="80" spans="1:16" ht="15.6" x14ac:dyDescent="0.3">
      <c r="A80" s="26"/>
      <c r="B80" s="27" t="s">
        <v>41</v>
      </c>
      <c r="C80" s="27"/>
      <c r="D80" s="27"/>
      <c r="E80" s="27"/>
      <c r="F80" s="27"/>
      <c r="G80" s="27"/>
      <c r="H80" s="27"/>
      <c r="I80" s="27"/>
      <c r="J80" s="27"/>
      <c r="K80" s="37">
        <f>+'Jan 2007'!K112</f>
        <v>37925</v>
      </c>
      <c r="L80" s="27"/>
      <c r="M80" s="56">
        <v>0</v>
      </c>
      <c r="N80" s="27"/>
      <c r="O80" s="6"/>
    </row>
    <row r="81" spans="1:16" ht="15.6" x14ac:dyDescent="0.3">
      <c r="A81" s="26"/>
      <c r="B81" s="27" t="s">
        <v>42</v>
      </c>
      <c r="C81" s="43" t="s">
        <v>207</v>
      </c>
      <c r="D81" s="60" t="s">
        <v>207</v>
      </c>
      <c r="E81" s="61"/>
      <c r="F81" s="27"/>
      <c r="G81" s="27"/>
      <c r="H81" s="27"/>
      <c r="I81" s="27"/>
      <c r="J81" s="27"/>
      <c r="K81" s="37">
        <f>33498-520</f>
        <v>32978</v>
      </c>
      <c r="L81" s="27"/>
      <c r="M81" s="56"/>
      <c r="N81" s="27"/>
      <c r="O81" s="6"/>
    </row>
    <row r="82" spans="1:16" ht="15.6" x14ac:dyDescent="0.3">
      <c r="A82" s="26"/>
      <c r="B82" s="27" t="s">
        <v>204</v>
      </c>
      <c r="C82" s="43"/>
      <c r="D82" s="60"/>
      <c r="E82" s="61"/>
      <c r="F82" s="27"/>
      <c r="G82" s="27"/>
      <c r="H82" s="27"/>
      <c r="I82" s="27"/>
      <c r="J82" s="27"/>
      <c r="K82" s="37"/>
      <c r="L82" s="27"/>
      <c r="M82" s="56">
        <f>8490-2972</f>
        <v>5518</v>
      </c>
      <c r="N82" s="27"/>
      <c r="O82" s="6"/>
    </row>
    <row r="83" spans="1:16" ht="15.6" x14ac:dyDescent="0.3">
      <c r="A83" s="26"/>
      <c r="B83" s="27" t="s">
        <v>205</v>
      </c>
      <c r="C83" s="43"/>
      <c r="D83" s="60"/>
      <c r="E83" s="61"/>
      <c r="F83" s="27"/>
      <c r="G83" s="27"/>
      <c r="H83" s="27"/>
      <c r="I83" s="27"/>
      <c r="J83" s="27"/>
      <c r="K83" s="37"/>
      <c r="L83" s="27"/>
      <c r="M83" s="56">
        <v>2041</v>
      </c>
      <c r="N83" s="27"/>
      <c r="O83" s="6"/>
    </row>
    <row r="84" spans="1:16" ht="15.6" x14ac:dyDescent="0.3">
      <c r="A84" s="26"/>
      <c r="B84" s="27" t="s">
        <v>206</v>
      </c>
      <c r="C84" s="43"/>
      <c r="D84" s="60"/>
      <c r="E84" s="61"/>
      <c r="F84" s="27"/>
      <c r="G84" s="27"/>
      <c r="H84" s="27"/>
      <c r="I84" s="27"/>
      <c r="J84" s="27"/>
      <c r="K84" s="37"/>
      <c r="L84" s="27"/>
      <c r="M84" s="56">
        <v>735</v>
      </c>
      <c r="N84" s="27"/>
      <c r="O84" s="6"/>
      <c r="P84" s="117"/>
    </row>
    <row r="85" spans="1:16" ht="15.6" x14ac:dyDescent="0.3">
      <c r="A85" s="26"/>
      <c r="B85" s="27" t="s">
        <v>44</v>
      </c>
      <c r="C85" s="27"/>
      <c r="D85" s="27"/>
      <c r="E85" s="27"/>
      <c r="F85" s="27"/>
      <c r="G85" s="27"/>
      <c r="H85" s="27"/>
      <c r="I85" s="27"/>
      <c r="J85" s="27"/>
      <c r="K85" s="37"/>
      <c r="L85" s="27"/>
      <c r="M85" s="56"/>
      <c r="N85" s="27"/>
      <c r="O85" s="6"/>
    </row>
    <row r="86" spans="1:16" ht="15.6" x14ac:dyDescent="0.3">
      <c r="A86" s="26"/>
      <c r="B86" s="27" t="s">
        <v>45</v>
      </c>
      <c r="C86" s="27"/>
      <c r="D86" s="27"/>
      <c r="E86" s="27"/>
      <c r="F86" s="27"/>
      <c r="G86" s="27"/>
      <c r="H86" s="27"/>
      <c r="I86" s="27"/>
      <c r="J86" s="27"/>
      <c r="K86" s="37">
        <f>SUM(K80:K85)</f>
        <v>70903</v>
      </c>
      <c r="L86" s="27"/>
      <c r="M86" s="57">
        <f>SUM(M80:M85)</f>
        <v>8294</v>
      </c>
      <c r="N86" s="27"/>
      <c r="O86" s="6"/>
    </row>
    <row r="87" spans="1:16" ht="15.6" x14ac:dyDescent="0.3">
      <c r="A87" s="26"/>
      <c r="B87" s="27" t="s">
        <v>46</v>
      </c>
      <c r="C87" s="27"/>
      <c r="D87" s="27"/>
      <c r="E87" s="27"/>
      <c r="F87" s="27"/>
      <c r="G87" s="27"/>
      <c r="H87" s="27"/>
      <c r="I87" s="27"/>
      <c r="J87" s="27"/>
      <c r="K87" s="37">
        <f>-M87</f>
        <v>0</v>
      </c>
      <c r="L87" s="27"/>
      <c r="M87" s="56">
        <v>0</v>
      </c>
      <c r="N87" s="27"/>
      <c r="O87" s="6"/>
    </row>
    <row r="88" spans="1:16" ht="15.6" x14ac:dyDescent="0.3">
      <c r="A88" s="26"/>
      <c r="B88" s="27" t="s">
        <v>47</v>
      </c>
      <c r="C88" s="27"/>
      <c r="D88" s="27"/>
      <c r="E88" s="27"/>
      <c r="F88" s="27"/>
      <c r="G88" s="27"/>
      <c r="H88" s="27"/>
      <c r="I88" s="27"/>
      <c r="J88" s="27"/>
      <c r="K88" s="37">
        <f>K86+K87</f>
        <v>70903</v>
      </c>
      <c r="L88" s="27"/>
      <c r="M88" s="57">
        <f>M86+M87</f>
        <v>8294</v>
      </c>
      <c r="N88" s="27"/>
      <c r="O88" s="6"/>
      <c r="P88" s="156"/>
    </row>
    <row r="89" spans="1:16" ht="15.6" x14ac:dyDescent="0.3">
      <c r="A89" s="26"/>
      <c r="B89" s="126" t="s">
        <v>48</v>
      </c>
      <c r="C89" s="62"/>
      <c r="D89" s="62"/>
      <c r="E89" s="27"/>
      <c r="F89" s="27"/>
      <c r="G89" s="27"/>
      <c r="H89" s="27"/>
      <c r="I89" s="27"/>
      <c r="J89" s="27"/>
      <c r="K89" s="37"/>
      <c r="L89" s="27"/>
      <c r="M89" s="56"/>
      <c r="N89" s="27"/>
      <c r="O89" s="6"/>
    </row>
    <row r="90" spans="1:16" ht="15.6" x14ac:dyDescent="0.3">
      <c r="A90" s="26">
        <v>1</v>
      </c>
      <c r="B90" s="27" t="s">
        <v>49</v>
      </c>
      <c r="C90" s="27"/>
      <c r="D90" s="27"/>
      <c r="E90" s="27"/>
      <c r="F90" s="27"/>
      <c r="G90" s="27"/>
      <c r="H90" s="27"/>
      <c r="I90" s="27"/>
      <c r="J90" s="27"/>
      <c r="K90" s="27"/>
      <c r="L90" s="27"/>
      <c r="M90" s="56">
        <v>-115</v>
      </c>
      <c r="N90" s="27"/>
      <c r="O90" s="6"/>
      <c r="P90" s="117"/>
    </row>
    <row r="91" spans="1:16" ht="15.6" x14ac:dyDescent="0.3">
      <c r="A91" s="26">
        <v>2</v>
      </c>
      <c r="B91" s="27" t="s">
        <v>50</v>
      </c>
      <c r="C91" s="27"/>
      <c r="D91" s="27"/>
      <c r="E91" s="27"/>
      <c r="F91" s="27"/>
      <c r="G91" s="27"/>
      <c r="H91" s="27"/>
      <c r="I91" s="27"/>
      <c r="J91" s="27"/>
      <c r="K91" s="27"/>
      <c r="L91" s="27"/>
      <c r="M91" s="56">
        <v>-2</v>
      </c>
      <c r="N91" s="27"/>
      <c r="O91" s="6"/>
      <c r="P91" s="156"/>
    </row>
    <row r="92" spans="1:16" ht="15.6" x14ac:dyDescent="0.3">
      <c r="A92" s="26">
        <v>3</v>
      </c>
      <c r="B92" s="27" t="s">
        <v>194</v>
      </c>
      <c r="C92" s="27"/>
      <c r="D92" s="27"/>
      <c r="E92" s="27"/>
      <c r="F92" s="27"/>
      <c r="G92" s="27"/>
      <c r="H92" s="27"/>
      <c r="I92" s="27"/>
      <c r="J92" s="27"/>
      <c r="K92" s="27"/>
      <c r="L92" s="27"/>
      <c r="M92" s="56">
        <f>-97-74-4</f>
        <v>-175</v>
      </c>
      <c r="N92" s="27"/>
      <c r="O92" s="6"/>
    </row>
    <row r="93" spans="1:16" ht="15.6" x14ac:dyDescent="0.3">
      <c r="A93" s="140" t="s">
        <v>184</v>
      </c>
      <c r="B93" s="27" t="s">
        <v>146</v>
      </c>
      <c r="C93" s="27"/>
      <c r="D93" s="27"/>
      <c r="E93" s="27"/>
      <c r="F93" s="27"/>
      <c r="G93" s="27"/>
      <c r="H93" s="27"/>
      <c r="I93" s="27"/>
      <c r="J93" s="27"/>
      <c r="K93" s="27"/>
      <c r="L93" s="27"/>
      <c r="M93" s="56">
        <v>0</v>
      </c>
      <c r="N93" s="27"/>
      <c r="O93" s="6"/>
    </row>
    <row r="94" spans="1:16" ht="15.6" x14ac:dyDescent="0.3">
      <c r="A94" s="140" t="s">
        <v>192</v>
      </c>
      <c r="B94" s="27" t="s">
        <v>51</v>
      </c>
      <c r="C94" s="27"/>
      <c r="D94" s="27"/>
      <c r="E94" s="27"/>
      <c r="F94" s="27"/>
      <c r="G94" s="27"/>
      <c r="H94" s="27"/>
      <c r="I94" s="27"/>
      <c r="J94" s="27"/>
      <c r="K94" s="27"/>
      <c r="L94" s="27"/>
      <c r="M94" s="56">
        <v>-3231</v>
      </c>
      <c r="N94" s="27"/>
      <c r="O94" s="6"/>
    </row>
    <row r="95" spans="1:16" ht="15.6" x14ac:dyDescent="0.3">
      <c r="A95" s="26">
        <v>5</v>
      </c>
      <c r="B95" s="27" t="s">
        <v>52</v>
      </c>
      <c r="C95" s="27"/>
      <c r="D95" s="27"/>
      <c r="E95" s="27"/>
      <c r="F95" s="27"/>
      <c r="G95" s="27"/>
      <c r="H95" s="27"/>
      <c r="I95" s="27"/>
      <c r="J95" s="27"/>
      <c r="K95" s="27"/>
      <c r="L95" s="27"/>
      <c r="M95" s="56">
        <v>-644</v>
      </c>
      <c r="N95" s="27"/>
      <c r="O95" s="6"/>
    </row>
    <row r="96" spans="1:16" ht="15.6" x14ac:dyDescent="0.3">
      <c r="A96" s="26">
        <v>6</v>
      </c>
      <c r="B96" s="27" t="s">
        <v>172</v>
      </c>
      <c r="C96" s="27"/>
      <c r="D96" s="27"/>
      <c r="E96" s="27"/>
      <c r="F96" s="27"/>
      <c r="G96" s="27"/>
      <c r="H96" s="27"/>
      <c r="I96" s="27"/>
      <c r="J96" s="27"/>
      <c r="K96" s="27"/>
      <c r="L96" s="27"/>
      <c r="M96" s="56">
        <v>-430</v>
      </c>
      <c r="N96" s="27"/>
      <c r="O96" s="6"/>
    </row>
    <row r="97" spans="1:16" ht="15.6" x14ac:dyDescent="0.3">
      <c r="A97" s="26">
        <v>7</v>
      </c>
      <c r="B97" s="27" t="s">
        <v>53</v>
      </c>
      <c r="C97" s="27"/>
      <c r="D97" s="27"/>
      <c r="E97" s="27"/>
      <c r="F97" s="27"/>
      <c r="G97" s="27"/>
      <c r="H97" s="27"/>
      <c r="I97" s="27"/>
      <c r="J97" s="27"/>
      <c r="K97" s="27"/>
      <c r="L97" s="27"/>
      <c r="M97" s="56">
        <v>-5</v>
      </c>
      <c r="N97" s="27"/>
      <c r="O97" s="6"/>
    </row>
    <row r="98" spans="1:16" ht="15.6" x14ac:dyDescent="0.3">
      <c r="A98" s="26">
        <v>8</v>
      </c>
      <c r="B98" s="27" t="s">
        <v>69</v>
      </c>
      <c r="C98" s="27"/>
      <c r="D98" s="27"/>
      <c r="E98" s="27"/>
      <c r="F98" s="27"/>
      <c r="G98" s="27"/>
      <c r="H98" s="27"/>
      <c r="I98" s="27"/>
      <c r="J98" s="27"/>
      <c r="K98" s="37">
        <f>-M98</f>
        <v>520</v>
      </c>
      <c r="L98" s="27"/>
      <c r="M98" s="56">
        <v>-520</v>
      </c>
      <c r="N98" s="27"/>
      <c r="O98" s="6"/>
    </row>
    <row r="99" spans="1:16" ht="15.6" x14ac:dyDescent="0.3">
      <c r="A99" s="26">
        <v>9</v>
      </c>
      <c r="B99" s="27" t="s">
        <v>193</v>
      </c>
      <c r="C99" s="27"/>
      <c r="D99" s="27"/>
      <c r="E99" s="27"/>
      <c r="F99" s="27"/>
      <c r="G99" s="27"/>
      <c r="H99" s="27"/>
      <c r="I99" s="27"/>
      <c r="J99" s="27"/>
      <c r="K99" s="27"/>
      <c r="L99" s="27"/>
      <c r="M99" s="56">
        <v>0</v>
      </c>
      <c r="N99" s="27"/>
      <c r="O99" s="6"/>
    </row>
    <row r="100" spans="1:16" ht="15.6" x14ac:dyDescent="0.3">
      <c r="A100" s="26">
        <v>10</v>
      </c>
      <c r="B100" s="27" t="s">
        <v>54</v>
      </c>
      <c r="C100" s="27"/>
      <c r="D100" s="27"/>
      <c r="E100" s="27"/>
      <c r="F100" s="27"/>
      <c r="G100" s="27"/>
      <c r="H100" s="27"/>
      <c r="I100" s="27"/>
      <c r="J100" s="27"/>
      <c r="K100" s="27"/>
      <c r="L100" s="27"/>
      <c r="M100" s="56">
        <v>0</v>
      </c>
      <c r="N100" s="27"/>
      <c r="O100" s="6"/>
    </row>
    <row r="101" spans="1:16" ht="15.6" x14ac:dyDescent="0.3">
      <c r="A101" s="26">
        <v>11</v>
      </c>
      <c r="B101" s="27" t="s">
        <v>55</v>
      </c>
      <c r="C101" s="27"/>
      <c r="D101" s="27"/>
      <c r="E101" s="27"/>
      <c r="F101" s="27"/>
      <c r="G101" s="27"/>
      <c r="H101" s="27"/>
      <c r="I101" s="27"/>
      <c r="J101" s="27"/>
      <c r="K101" s="27"/>
      <c r="L101" s="27"/>
      <c r="M101" s="56">
        <v>0</v>
      </c>
      <c r="N101" s="27"/>
      <c r="O101" s="6"/>
    </row>
    <row r="102" spans="1:16" ht="15.6" x14ac:dyDescent="0.3">
      <c r="A102" s="26">
        <v>12</v>
      </c>
      <c r="B102" s="27" t="s">
        <v>173</v>
      </c>
      <c r="C102" s="27"/>
      <c r="D102" s="27"/>
      <c r="E102" s="27"/>
      <c r="F102" s="27"/>
      <c r="G102" s="27"/>
      <c r="H102" s="27"/>
      <c r="I102" s="27"/>
      <c r="J102" s="27"/>
      <c r="K102" s="27"/>
      <c r="L102" s="27"/>
      <c r="M102" s="56">
        <v>-97</v>
      </c>
      <c r="N102" s="27"/>
      <c r="O102" s="6"/>
    </row>
    <row r="103" spans="1:16" ht="15.6" x14ac:dyDescent="0.3">
      <c r="A103" s="26">
        <v>13</v>
      </c>
      <c r="B103" s="27" t="s">
        <v>195</v>
      </c>
      <c r="C103" s="27"/>
      <c r="D103" s="27"/>
      <c r="E103" s="27"/>
      <c r="F103" s="27"/>
      <c r="G103" s="27"/>
      <c r="H103" s="27"/>
      <c r="I103" s="27"/>
      <c r="J103" s="27"/>
      <c r="K103" s="27"/>
      <c r="L103" s="27"/>
      <c r="M103" s="56">
        <f>-M88-SUM(M90:M102)</f>
        <v>-3075</v>
      </c>
      <c r="N103" s="27"/>
      <c r="O103" s="6"/>
    </row>
    <row r="104" spans="1:16" ht="15.6" x14ac:dyDescent="0.3">
      <c r="A104" s="26"/>
      <c r="B104" s="126" t="s">
        <v>56</v>
      </c>
      <c r="C104" s="62"/>
      <c r="D104" s="62"/>
      <c r="E104" s="27"/>
      <c r="F104" s="27"/>
      <c r="G104" s="27"/>
      <c r="H104" s="27"/>
      <c r="I104" s="27"/>
      <c r="J104" s="27"/>
      <c r="K104" s="27"/>
      <c r="L104" s="27"/>
      <c r="M104" s="63"/>
      <c r="N104" s="27"/>
      <c r="O104" s="6"/>
    </row>
    <row r="105" spans="1:16" ht="15.6" x14ac:dyDescent="0.3">
      <c r="A105" s="26"/>
      <c r="B105" s="27" t="s">
        <v>57</v>
      </c>
      <c r="C105" s="62"/>
      <c r="D105" s="62"/>
      <c r="E105" s="27"/>
      <c r="F105" s="27"/>
      <c r="G105" s="27"/>
      <c r="H105" s="27"/>
      <c r="I105" s="27"/>
      <c r="J105" s="27"/>
      <c r="K105" s="37">
        <f>-K154</f>
        <v>0</v>
      </c>
      <c r="L105" s="37"/>
      <c r="M105" s="56"/>
      <c r="N105" s="27"/>
      <c r="O105" s="6"/>
    </row>
    <row r="106" spans="1:16" ht="15.6" x14ac:dyDescent="0.3">
      <c r="A106" s="26"/>
      <c r="B106" s="27" t="s">
        <v>58</v>
      </c>
      <c r="C106" s="27"/>
      <c r="D106" s="27"/>
      <c r="E106" s="27"/>
      <c r="F106" s="27"/>
      <c r="G106" s="27"/>
      <c r="H106" s="27"/>
      <c r="I106" s="27"/>
      <c r="J106" s="27"/>
      <c r="K106" s="37">
        <f>-I154</f>
        <v>-512</v>
      </c>
      <c r="L106" s="37"/>
      <c r="M106" s="56"/>
      <c r="N106" s="27"/>
      <c r="O106" s="6"/>
      <c r="P106" s="117"/>
    </row>
    <row r="107" spans="1:16" ht="15.6" x14ac:dyDescent="0.3">
      <c r="A107" s="26"/>
      <c r="B107" s="27" t="s">
        <v>187</v>
      </c>
      <c r="C107" s="27"/>
      <c r="D107" s="27"/>
      <c r="E107" s="27"/>
      <c r="F107" s="27"/>
      <c r="G107" s="27"/>
      <c r="H107" s="27"/>
      <c r="I107" s="27"/>
      <c r="J107" s="27"/>
      <c r="K107" s="37">
        <v>-31878</v>
      </c>
      <c r="L107" s="37"/>
      <c r="M107" s="56"/>
      <c r="N107" s="27"/>
      <c r="O107" s="6"/>
    </row>
    <row r="108" spans="1:16" ht="15.6" x14ac:dyDescent="0.3">
      <c r="A108" s="26"/>
      <c r="B108" s="27" t="s">
        <v>185</v>
      </c>
      <c r="C108" s="27"/>
      <c r="D108" s="27"/>
      <c r="E108" s="27"/>
      <c r="F108" s="27"/>
      <c r="G108" s="27"/>
      <c r="H108" s="27"/>
      <c r="I108" s="27"/>
      <c r="J108" s="27"/>
      <c r="K108" s="37">
        <v>0</v>
      </c>
      <c r="L108" s="37"/>
      <c r="M108" s="56"/>
      <c r="N108" s="27"/>
      <c r="O108" s="6"/>
    </row>
    <row r="109" spans="1:16" ht="15.6" x14ac:dyDescent="0.3">
      <c r="A109" s="26"/>
      <c r="B109" s="27" t="s">
        <v>59</v>
      </c>
      <c r="C109" s="27"/>
      <c r="D109" s="27"/>
      <c r="E109" s="27"/>
      <c r="F109" s="27"/>
      <c r="G109" s="27"/>
      <c r="H109" s="27"/>
      <c r="I109" s="27"/>
      <c r="J109" s="27"/>
      <c r="K109" s="37">
        <v>0</v>
      </c>
      <c r="L109" s="37"/>
      <c r="M109" s="56"/>
      <c r="N109" s="27"/>
      <c r="O109" s="6"/>
    </row>
    <row r="110" spans="1:16" ht="15.6" x14ac:dyDescent="0.3">
      <c r="A110" s="26"/>
      <c r="B110" s="27" t="s">
        <v>186</v>
      </c>
      <c r="C110" s="27"/>
      <c r="D110" s="27"/>
      <c r="E110" s="27"/>
      <c r="F110" s="27"/>
      <c r="G110" s="27"/>
      <c r="H110" s="27"/>
      <c r="I110" s="27"/>
      <c r="J110" s="27"/>
      <c r="K110" s="37">
        <v>0</v>
      </c>
      <c r="L110" s="37"/>
      <c r="M110" s="56"/>
      <c r="N110" s="27"/>
      <c r="O110" s="6"/>
    </row>
    <row r="111" spans="1:16" ht="15.6" x14ac:dyDescent="0.3">
      <c r="A111" s="26"/>
      <c r="B111" s="27" t="s">
        <v>60</v>
      </c>
      <c r="C111" s="27"/>
      <c r="D111" s="27"/>
      <c r="E111" s="27"/>
      <c r="F111" s="27"/>
      <c r="G111" s="27"/>
      <c r="H111" s="27"/>
      <c r="I111" s="27"/>
      <c r="J111" s="27"/>
      <c r="K111" s="37">
        <f>+K106+K107</f>
        <v>-32390</v>
      </c>
      <c r="L111" s="37"/>
      <c r="M111" s="37">
        <f>SUM(M89:M110)</f>
        <v>-8294</v>
      </c>
      <c r="N111" s="27"/>
      <c r="O111" s="6"/>
    </row>
    <row r="112" spans="1:16" ht="15.6" x14ac:dyDescent="0.3">
      <c r="A112" s="26"/>
      <c r="B112" s="27" t="s">
        <v>61</v>
      </c>
      <c r="C112" s="27"/>
      <c r="D112" s="27"/>
      <c r="E112" s="27"/>
      <c r="F112" s="27"/>
      <c r="G112" s="27"/>
      <c r="H112" s="27"/>
      <c r="I112" s="27"/>
      <c r="J112" s="27"/>
      <c r="K112" s="37">
        <f>K88+K111+K98</f>
        <v>39033</v>
      </c>
      <c r="L112" s="37"/>
      <c r="M112" s="37">
        <f>M88+M111</f>
        <v>0</v>
      </c>
      <c r="N112" s="27"/>
      <c r="O112" s="6"/>
    </row>
    <row r="113" spans="1:15" ht="15.6" x14ac:dyDescent="0.3">
      <c r="A113" s="26"/>
      <c r="B113" s="27"/>
      <c r="C113" s="27"/>
      <c r="D113" s="27"/>
      <c r="E113" s="27"/>
      <c r="F113" s="27"/>
      <c r="G113" s="27"/>
      <c r="H113" s="27"/>
      <c r="I113" s="27"/>
      <c r="J113" s="27"/>
      <c r="K113" s="37"/>
      <c r="L113" s="37"/>
      <c r="M113" s="37"/>
      <c r="N113" s="27"/>
      <c r="O113" s="6"/>
    </row>
    <row r="114" spans="1:15" ht="15.6" x14ac:dyDescent="0.3">
      <c r="A114" s="7"/>
      <c r="B114" s="9"/>
      <c r="C114" s="9"/>
      <c r="D114" s="9"/>
      <c r="E114" s="9"/>
      <c r="F114" s="9"/>
      <c r="G114" s="9"/>
      <c r="H114" s="9"/>
      <c r="I114" s="9"/>
      <c r="J114" s="9"/>
      <c r="K114" s="9"/>
      <c r="L114" s="9"/>
      <c r="M114" s="55"/>
      <c r="N114" s="9"/>
      <c r="O114" s="6"/>
    </row>
    <row r="115" spans="1:15" ht="18" thickBot="1" x14ac:dyDescent="0.35">
      <c r="A115" s="109"/>
      <c r="B115" s="110" t="str">
        <f>B54</f>
        <v>PSF1 INVESTOR REPORT QUARTER ENDING APRIL 2007</v>
      </c>
      <c r="C115" s="111"/>
      <c r="D115" s="111"/>
      <c r="E115" s="111"/>
      <c r="F115" s="111"/>
      <c r="G115" s="111"/>
      <c r="H115" s="111"/>
      <c r="I115" s="111"/>
      <c r="J115" s="111"/>
      <c r="K115" s="111"/>
      <c r="L115" s="111"/>
      <c r="M115" s="114"/>
      <c r="N115" s="113"/>
      <c r="O115" s="6"/>
    </row>
    <row r="116" spans="1:15" ht="15.6" x14ac:dyDescent="0.3">
      <c r="A116" s="2"/>
      <c r="B116" s="64" t="s">
        <v>62</v>
      </c>
      <c r="C116" s="65"/>
      <c r="D116" s="65"/>
      <c r="E116" s="5"/>
      <c r="F116" s="5"/>
      <c r="G116" s="5"/>
      <c r="H116" s="5"/>
      <c r="I116" s="5"/>
      <c r="J116" s="5"/>
      <c r="K116" s="5"/>
      <c r="L116" s="5"/>
      <c r="M116" s="53"/>
      <c r="N116" s="5"/>
      <c r="O116" s="6"/>
    </row>
    <row r="117" spans="1:15" ht="15.6" x14ac:dyDescent="0.3">
      <c r="A117" s="7"/>
      <c r="B117" s="23"/>
      <c r="C117" s="15"/>
      <c r="D117" s="15"/>
      <c r="E117" s="9"/>
      <c r="F117" s="9"/>
      <c r="G117" s="9"/>
      <c r="H117" s="9"/>
      <c r="I117" s="9"/>
      <c r="J117" s="9"/>
      <c r="K117" s="9"/>
      <c r="L117" s="9"/>
      <c r="M117" s="55"/>
      <c r="N117" s="9"/>
      <c r="O117" s="6"/>
    </row>
    <row r="118" spans="1:15" ht="15.6" x14ac:dyDescent="0.3">
      <c r="A118" s="7"/>
      <c r="B118" s="127" t="s">
        <v>63</v>
      </c>
      <c r="C118" s="15"/>
      <c r="D118" s="15"/>
      <c r="E118" s="9"/>
      <c r="F118" s="9"/>
      <c r="G118" s="9"/>
      <c r="H118" s="9"/>
      <c r="I118" s="9"/>
      <c r="J118" s="9"/>
      <c r="K118" s="9"/>
      <c r="L118" s="9"/>
      <c r="M118" s="55"/>
      <c r="N118" s="9"/>
      <c r="O118" s="6"/>
    </row>
    <row r="119" spans="1:15" ht="15.6" x14ac:dyDescent="0.3">
      <c r="A119" s="26"/>
      <c r="B119" s="27" t="s">
        <v>64</v>
      </c>
      <c r="C119" s="27"/>
      <c r="D119" s="27"/>
      <c r="E119" s="27"/>
      <c r="F119" s="27"/>
      <c r="G119" s="27"/>
      <c r="H119" s="27"/>
      <c r="I119" s="27"/>
      <c r="J119" s="27"/>
      <c r="K119" s="27"/>
      <c r="L119" s="27"/>
      <c r="M119" s="56">
        <f>+M30*0.045</f>
        <v>13500</v>
      </c>
      <c r="N119" s="27"/>
      <c r="O119" s="6"/>
    </row>
    <row r="120" spans="1:15" ht="15.6" x14ac:dyDescent="0.3">
      <c r="A120" s="26"/>
      <c r="B120" s="27" t="s">
        <v>65</v>
      </c>
      <c r="C120" s="27"/>
      <c r="D120" s="27"/>
      <c r="E120" s="27"/>
      <c r="F120" s="27"/>
      <c r="G120" s="27"/>
      <c r="H120" s="27"/>
      <c r="I120" s="27"/>
      <c r="J120" s="27"/>
      <c r="K120" s="27"/>
      <c r="L120" s="27"/>
      <c r="M120" s="56">
        <v>13500</v>
      </c>
      <c r="N120" s="27"/>
      <c r="O120" s="6"/>
    </row>
    <row r="121" spans="1:15" ht="15.6" x14ac:dyDescent="0.3">
      <c r="A121" s="26"/>
      <c r="B121" s="27" t="s">
        <v>66</v>
      </c>
      <c r="C121" s="27"/>
      <c r="D121" s="27"/>
      <c r="E121" s="27"/>
      <c r="F121" s="27"/>
      <c r="G121" s="27"/>
      <c r="H121" s="27"/>
      <c r="I121" s="27"/>
      <c r="J121" s="27"/>
      <c r="K121" s="27"/>
      <c r="L121" s="27"/>
      <c r="M121" s="56">
        <v>0</v>
      </c>
      <c r="N121" s="27"/>
      <c r="O121" s="6"/>
    </row>
    <row r="122" spans="1:15" ht="15.6" x14ac:dyDescent="0.3">
      <c r="A122" s="26"/>
      <c r="B122" s="27" t="s">
        <v>67</v>
      </c>
      <c r="C122" s="27"/>
      <c r="D122" s="27"/>
      <c r="E122" s="27"/>
      <c r="F122" s="27"/>
      <c r="G122" s="27"/>
      <c r="H122" s="27"/>
      <c r="I122" s="27"/>
      <c r="J122" s="27"/>
      <c r="K122" s="27"/>
      <c r="L122" s="27"/>
      <c r="M122" s="56">
        <v>0</v>
      </c>
      <c r="N122" s="27"/>
      <c r="O122" s="6"/>
    </row>
    <row r="123" spans="1:15" ht="15.6" x14ac:dyDescent="0.3">
      <c r="A123" s="26"/>
      <c r="B123" s="27" t="s">
        <v>68</v>
      </c>
      <c r="C123" s="27"/>
      <c r="D123" s="27"/>
      <c r="E123" s="27"/>
      <c r="F123" s="27"/>
      <c r="G123" s="27"/>
      <c r="H123" s="27"/>
      <c r="I123" s="27"/>
      <c r="J123" s="27"/>
      <c r="K123" s="27"/>
      <c r="L123" s="27"/>
      <c r="M123" s="56">
        <v>0</v>
      </c>
      <c r="N123" s="27"/>
      <c r="O123" s="6"/>
    </row>
    <row r="124" spans="1:15" ht="15.6" x14ac:dyDescent="0.3">
      <c r="A124" s="26"/>
      <c r="B124" s="27" t="s">
        <v>51</v>
      </c>
      <c r="C124" s="27"/>
      <c r="D124" s="27"/>
      <c r="E124" s="27"/>
      <c r="F124" s="27"/>
      <c r="G124" s="27"/>
      <c r="H124" s="27"/>
      <c r="I124" s="27"/>
      <c r="J124" s="27"/>
      <c r="K124" s="27"/>
      <c r="L124" s="27"/>
      <c r="M124" s="56">
        <v>0</v>
      </c>
      <c r="N124" s="27"/>
      <c r="O124" s="6"/>
    </row>
    <row r="125" spans="1:15" ht="15.6" x14ac:dyDescent="0.3">
      <c r="A125" s="26"/>
      <c r="B125" s="27" t="s">
        <v>52</v>
      </c>
      <c r="C125" s="27"/>
      <c r="D125" s="27"/>
      <c r="E125" s="27"/>
      <c r="F125" s="27"/>
      <c r="G125" s="27"/>
      <c r="H125" s="27"/>
      <c r="I125" s="27"/>
      <c r="J125" s="27"/>
      <c r="K125" s="27"/>
      <c r="L125" s="27"/>
      <c r="M125" s="56">
        <v>0</v>
      </c>
      <c r="N125" s="27"/>
      <c r="O125" s="6"/>
    </row>
    <row r="126" spans="1:15" ht="15.6" x14ac:dyDescent="0.3">
      <c r="A126" s="26"/>
      <c r="B126" s="27" t="s">
        <v>172</v>
      </c>
      <c r="C126" s="27"/>
      <c r="D126" s="27"/>
      <c r="E126" s="27"/>
      <c r="F126" s="27"/>
      <c r="G126" s="27"/>
      <c r="H126" s="27"/>
      <c r="I126" s="27"/>
      <c r="J126" s="27"/>
      <c r="K126" s="27"/>
      <c r="L126" s="27"/>
      <c r="M126" s="56">
        <v>0</v>
      </c>
      <c r="N126" s="27"/>
      <c r="O126" s="6"/>
    </row>
    <row r="127" spans="1:15" ht="15.6" x14ac:dyDescent="0.3">
      <c r="A127" s="26"/>
      <c r="B127" s="27" t="s">
        <v>69</v>
      </c>
      <c r="C127" s="27"/>
      <c r="D127" s="27"/>
      <c r="E127" s="27"/>
      <c r="F127" s="27"/>
      <c r="G127" s="27"/>
      <c r="H127" s="27"/>
      <c r="I127" s="27"/>
      <c r="J127" s="27"/>
      <c r="K127" s="27"/>
      <c r="L127" s="27"/>
      <c r="M127" s="56">
        <v>0</v>
      </c>
      <c r="N127" s="27"/>
      <c r="O127" s="6"/>
    </row>
    <row r="128" spans="1:15" ht="15.6" x14ac:dyDescent="0.3">
      <c r="A128" s="26"/>
      <c r="B128" s="27" t="s">
        <v>70</v>
      </c>
      <c r="C128" s="27"/>
      <c r="D128" s="27"/>
      <c r="E128" s="27"/>
      <c r="F128" s="27"/>
      <c r="G128" s="27"/>
      <c r="H128" s="27"/>
      <c r="I128" s="27"/>
      <c r="J128" s="27"/>
      <c r="K128" s="27"/>
      <c r="L128" s="27"/>
      <c r="M128" s="56">
        <f>SUM(M120:M127)</f>
        <v>13500</v>
      </c>
      <c r="N128" s="27"/>
      <c r="O128" s="6"/>
    </row>
    <row r="129" spans="1:15" ht="15.6" x14ac:dyDescent="0.3">
      <c r="A129" s="26"/>
      <c r="B129" s="27"/>
      <c r="C129" s="27"/>
      <c r="D129" s="27"/>
      <c r="E129" s="27"/>
      <c r="F129" s="27"/>
      <c r="G129" s="27"/>
      <c r="H129" s="27"/>
      <c r="I129" s="27"/>
      <c r="J129" s="27"/>
      <c r="K129" s="27"/>
      <c r="L129" s="27"/>
      <c r="M129" s="66"/>
      <c r="N129" s="27"/>
      <c r="O129" s="6"/>
    </row>
    <row r="130" spans="1:15" ht="15.6" x14ac:dyDescent="0.3">
      <c r="A130" s="7"/>
      <c r="B130" s="127" t="s">
        <v>37</v>
      </c>
      <c r="C130" s="9"/>
      <c r="D130" s="9"/>
      <c r="E130" s="9"/>
      <c r="F130" s="9"/>
      <c r="G130" s="9"/>
      <c r="H130" s="9"/>
      <c r="I130" s="9"/>
      <c r="J130" s="9"/>
      <c r="K130" s="9"/>
      <c r="L130" s="9"/>
      <c r="M130" s="55"/>
      <c r="N130" s="9"/>
      <c r="O130" s="6"/>
    </row>
    <row r="131" spans="1:15" ht="15.6" x14ac:dyDescent="0.3">
      <c r="A131" s="26"/>
      <c r="B131" s="27" t="s">
        <v>71</v>
      </c>
      <c r="C131" s="27"/>
      <c r="D131" s="27"/>
      <c r="E131" s="67"/>
      <c r="F131" s="27"/>
      <c r="G131" s="27"/>
      <c r="H131" s="27"/>
      <c r="I131" s="27"/>
      <c r="J131" s="27"/>
      <c r="K131" s="27"/>
      <c r="L131" s="27"/>
      <c r="M131" s="68" t="s">
        <v>136</v>
      </c>
      <c r="N131" s="27"/>
      <c r="O131" s="6"/>
    </row>
    <row r="132" spans="1:15" ht="15.6" x14ac:dyDescent="0.3">
      <c r="A132" s="26"/>
      <c r="B132" s="27" t="s">
        <v>72</v>
      </c>
      <c r="C132" s="142"/>
      <c r="D132" s="142"/>
      <c r="E132" s="142"/>
      <c r="F132" s="142"/>
      <c r="G132" s="142"/>
      <c r="H132" s="142"/>
      <c r="I132" s="142"/>
      <c r="J132" s="142"/>
      <c r="K132" s="142"/>
      <c r="L132" s="142"/>
      <c r="M132" s="68" t="s">
        <v>136</v>
      </c>
      <c r="N132" s="27"/>
      <c r="O132" s="6"/>
    </row>
    <row r="133" spans="1:15" ht="15.6" x14ac:dyDescent="0.3">
      <c r="A133" s="26"/>
      <c r="B133" s="27" t="s">
        <v>73</v>
      </c>
      <c r="C133" s="27"/>
      <c r="D133" s="27"/>
      <c r="E133" s="27"/>
      <c r="F133" s="27"/>
      <c r="G133" s="27"/>
      <c r="H133" s="27"/>
      <c r="I133" s="27"/>
      <c r="J133" s="27"/>
      <c r="K133" s="27"/>
      <c r="L133" s="27"/>
      <c r="M133" s="68" t="s">
        <v>136</v>
      </c>
      <c r="N133" s="27"/>
      <c r="O133" s="6"/>
    </row>
    <row r="134" spans="1:15" ht="15.6" x14ac:dyDescent="0.3">
      <c r="A134" s="26"/>
      <c r="B134" s="27" t="s">
        <v>74</v>
      </c>
      <c r="C134" s="27"/>
      <c r="D134" s="27"/>
      <c r="E134" s="27"/>
      <c r="F134" s="27"/>
      <c r="G134" s="27"/>
      <c r="H134" s="27"/>
      <c r="I134" s="27"/>
      <c r="J134" s="27"/>
      <c r="K134" s="27"/>
      <c r="L134" s="27"/>
      <c r="M134" s="68" t="s">
        <v>136</v>
      </c>
      <c r="N134" s="27"/>
      <c r="O134" s="6"/>
    </row>
    <row r="135" spans="1:15" ht="15.6" x14ac:dyDescent="0.3">
      <c r="A135" s="26"/>
      <c r="B135" s="27"/>
      <c r="C135" s="27"/>
      <c r="D135" s="27"/>
      <c r="E135" s="27"/>
      <c r="F135" s="27"/>
      <c r="G135" s="27"/>
      <c r="H135" s="27"/>
      <c r="I135" s="27"/>
      <c r="J135" s="27"/>
      <c r="K135" s="27"/>
      <c r="L135" s="27"/>
      <c r="M135" s="66"/>
      <c r="N135" s="27"/>
      <c r="O135" s="6"/>
    </row>
    <row r="136" spans="1:15" ht="15.6" x14ac:dyDescent="0.3">
      <c r="A136" s="7"/>
      <c r="B136" s="127" t="s">
        <v>75</v>
      </c>
      <c r="C136" s="15"/>
      <c r="D136" s="15"/>
      <c r="E136" s="9"/>
      <c r="F136" s="9"/>
      <c r="G136" s="9"/>
      <c r="H136" s="9"/>
      <c r="I136" s="9"/>
      <c r="J136" s="9"/>
      <c r="K136" s="9"/>
      <c r="L136" s="9"/>
      <c r="M136" s="69"/>
      <c r="N136" s="9"/>
      <c r="O136" s="6"/>
    </row>
    <row r="137" spans="1:15" ht="15.6" x14ac:dyDescent="0.3">
      <c r="A137" s="26"/>
      <c r="B137" s="27" t="s">
        <v>76</v>
      </c>
      <c r="C137" s="27"/>
      <c r="D137" s="27"/>
      <c r="E137" s="27"/>
      <c r="F137" s="27"/>
      <c r="G137" s="27"/>
      <c r="H137" s="27"/>
      <c r="I137" s="27"/>
      <c r="J137" s="27"/>
      <c r="K137" s="27"/>
      <c r="L137" s="27"/>
      <c r="M137" s="56">
        <v>0</v>
      </c>
      <c r="N137" s="27"/>
      <c r="O137" s="6"/>
    </row>
    <row r="138" spans="1:15" ht="15.6" x14ac:dyDescent="0.3">
      <c r="A138" s="26"/>
      <c r="B138" s="27" t="s">
        <v>190</v>
      </c>
      <c r="C138" s="27"/>
      <c r="D138" s="27"/>
      <c r="E138" s="27"/>
      <c r="F138" s="27"/>
      <c r="G138" s="27"/>
      <c r="H138" s="27"/>
      <c r="I138" s="27"/>
      <c r="J138" s="27"/>
      <c r="K138" s="27"/>
      <c r="L138" s="27"/>
      <c r="M138" s="56">
        <v>194</v>
      </c>
      <c r="N138" s="27"/>
      <c r="O138" s="6"/>
    </row>
    <row r="139" spans="1:15" ht="15.6" x14ac:dyDescent="0.3">
      <c r="A139" s="26"/>
      <c r="B139" s="27" t="s">
        <v>180</v>
      </c>
      <c r="C139" s="27"/>
      <c r="D139" s="27"/>
      <c r="E139" s="27"/>
      <c r="F139" s="27"/>
      <c r="G139" s="27"/>
      <c r="H139" s="27"/>
      <c r="I139" s="27"/>
      <c r="J139" s="27"/>
      <c r="K139" s="27"/>
      <c r="L139" s="27"/>
      <c r="M139" s="56">
        <v>326</v>
      </c>
      <c r="N139" s="27"/>
      <c r="O139" s="6"/>
    </row>
    <row r="140" spans="1:15" ht="15.6" x14ac:dyDescent="0.3">
      <c r="A140" s="26"/>
      <c r="B140" s="27" t="s">
        <v>77</v>
      </c>
      <c r="C140" s="27"/>
      <c r="D140" s="27"/>
      <c r="E140" s="27"/>
      <c r="F140" s="27"/>
      <c r="G140" s="27"/>
      <c r="H140" s="27"/>
      <c r="I140" s="27"/>
      <c r="J140" s="27"/>
      <c r="K140" s="27"/>
      <c r="L140" s="27"/>
      <c r="M140" s="56">
        <f>M138+M137+M139</f>
        <v>520</v>
      </c>
      <c r="N140" s="27"/>
      <c r="O140" s="6"/>
    </row>
    <row r="141" spans="1:15" ht="15.6" x14ac:dyDescent="0.3">
      <c r="A141" s="26"/>
      <c r="B141" s="27" t="s">
        <v>183</v>
      </c>
      <c r="C141" s="27"/>
      <c r="D141" s="27"/>
      <c r="E141" s="27"/>
      <c r="F141" s="27"/>
      <c r="G141" s="27"/>
      <c r="H141" s="27"/>
      <c r="I141" s="70"/>
      <c r="J141" s="27"/>
      <c r="K141" s="27"/>
      <c r="L141" s="27"/>
      <c r="M141" s="56">
        <f>M98</f>
        <v>-520</v>
      </c>
      <c r="N141" s="27"/>
      <c r="O141" s="6"/>
    </row>
    <row r="142" spans="1:15" ht="15.6" x14ac:dyDescent="0.3">
      <c r="A142" s="26"/>
      <c r="B142" s="27" t="s">
        <v>78</v>
      </c>
      <c r="C142" s="27"/>
      <c r="D142" s="27"/>
      <c r="E142" s="27"/>
      <c r="F142" s="27"/>
      <c r="G142" s="27"/>
      <c r="H142" s="27"/>
      <c r="I142" s="27"/>
      <c r="J142" s="27"/>
      <c r="K142" s="27"/>
      <c r="L142" s="27"/>
      <c r="M142" s="56">
        <f>M140+M141</f>
        <v>0</v>
      </c>
      <c r="N142" s="27"/>
      <c r="O142" s="6"/>
    </row>
    <row r="143" spans="1:15" ht="16.2" thickBot="1" x14ac:dyDescent="0.35">
      <c r="A143" s="26"/>
      <c r="B143" s="27"/>
      <c r="C143" s="27"/>
      <c r="D143" s="27"/>
      <c r="E143" s="27"/>
      <c r="F143" s="27"/>
      <c r="G143" s="27"/>
      <c r="H143" s="27"/>
      <c r="I143" s="27"/>
      <c r="J143" s="27"/>
      <c r="K143" s="27"/>
      <c r="L143" s="27"/>
      <c r="M143" s="66"/>
      <c r="N143" s="27"/>
      <c r="O143" s="6"/>
    </row>
    <row r="144" spans="1:15" ht="15.6" x14ac:dyDescent="0.3">
      <c r="A144" s="2"/>
      <c r="B144" s="5"/>
      <c r="C144" s="5"/>
      <c r="D144" s="5"/>
      <c r="E144" s="5"/>
      <c r="F144" s="5"/>
      <c r="G144" s="5"/>
      <c r="H144" s="5"/>
      <c r="I144" s="5"/>
      <c r="J144" s="5"/>
      <c r="K144" s="5"/>
      <c r="L144" s="5"/>
      <c r="M144" s="53"/>
      <c r="N144" s="5"/>
      <c r="O144" s="6"/>
    </row>
    <row r="145" spans="1:16" ht="15.6" x14ac:dyDescent="0.3">
      <c r="A145" s="7"/>
      <c r="B145" s="127" t="s">
        <v>79</v>
      </c>
      <c r="C145" s="15"/>
      <c r="D145" s="15"/>
      <c r="E145" s="9"/>
      <c r="F145" s="9"/>
      <c r="G145" s="9"/>
      <c r="H145" s="9"/>
      <c r="I145" s="9"/>
      <c r="J145" s="9"/>
      <c r="K145" s="9"/>
      <c r="L145" s="9"/>
      <c r="M145" s="55"/>
      <c r="N145" s="9"/>
      <c r="O145" s="6"/>
    </row>
    <row r="146" spans="1:16" ht="15.6" x14ac:dyDescent="0.3">
      <c r="A146" s="7"/>
      <c r="B146" s="23"/>
      <c r="C146" s="15"/>
      <c r="D146" s="15"/>
      <c r="E146" s="9"/>
      <c r="F146" s="9"/>
      <c r="G146" s="9"/>
      <c r="H146" s="9"/>
      <c r="I146" s="9"/>
      <c r="J146" s="9"/>
      <c r="K146" s="9"/>
      <c r="L146" s="9"/>
      <c r="M146" s="55"/>
      <c r="N146" s="9"/>
      <c r="O146" s="6"/>
    </row>
    <row r="147" spans="1:16" ht="15.6" x14ac:dyDescent="0.3">
      <c r="A147" s="26"/>
      <c r="B147" s="27" t="s">
        <v>188</v>
      </c>
      <c r="C147" s="71"/>
      <c r="D147" s="71"/>
      <c r="E147" s="27"/>
      <c r="F147" s="27"/>
      <c r="G147" s="27"/>
      <c r="H147" s="27"/>
      <c r="I147" s="27"/>
      <c r="J147" s="27"/>
      <c r="K147" s="27"/>
      <c r="L147" s="27"/>
      <c r="M147" s="56">
        <f>+M63+M73+M74</f>
        <v>300000</v>
      </c>
      <c r="N147" s="27"/>
      <c r="O147" s="6"/>
      <c r="P147" s="117"/>
    </row>
    <row r="148" spans="1:16" ht="15.6" x14ac:dyDescent="0.3">
      <c r="A148" s="26"/>
      <c r="B148" s="27" t="s">
        <v>80</v>
      </c>
      <c r="C148" s="71"/>
      <c r="D148" s="71"/>
      <c r="E148" s="27"/>
      <c r="F148" s="27"/>
      <c r="G148" s="27"/>
      <c r="H148" s="27"/>
      <c r="I148" s="27"/>
      <c r="J148" s="27"/>
      <c r="K148" s="27"/>
      <c r="L148" s="27"/>
      <c r="M148" s="56">
        <f>M76</f>
        <v>300000</v>
      </c>
      <c r="N148" s="27"/>
      <c r="O148" s="6"/>
    </row>
    <row r="149" spans="1:16" ht="16.2" thickBot="1" x14ac:dyDescent="0.35">
      <c r="A149" s="26"/>
      <c r="B149" s="27"/>
      <c r="C149" s="27"/>
      <c r="D149" s="27"/>
      <c r="E149" s="27"/>
      <c r="F149" s="27"/>
      <c r="G149" s="27"/>
      <c r="H149" s="27"/>
      <c r="I149" s="27"/>
      <c r="J149" s="27"/>
      <c r="K149" s="27"/>
      <c r="L149" s="27"/>
      <c r="M149" s="66"/>
      <c r="N149" s="27"/>
      <c r="O149" s="6"/>
    </row>
    <row r="150" spans="1:16" ht="15.6" x14ac:dyDescent="0.3">
      <c r="A150" s="2"/>
      <c r="B150" s="5"/>
      <c r="C150" s="5"/>
      <c r="D150" s="5"/>
      <c r="E150" s="5"/>
      <c r="F150" s="5"/>
      <c r="G150" s="5"/>
      <c r="H150" s="5"/>
      <c r="I150" s="5"/>
      <c r="J150" s="5"/>
      <c r="K150" s="5"/>
      <c r="L150" s="5"/>
      <c r="M150" s="53"/>
      <c r="N150" s="5"/>
      <c r="O150" s="6"/>
    </row>
    <row r="151" spans="1:16" ht="15.6" x14ac:dyDescent="0.3">
      <c r="A151" s="7"/>
      <c r="B151" s="127" t="s">
        <v>81</v>
      </c>
      <c r="C151" s="119"/>
      <c r="D151" s="119"/>
      <c r="E151" s="125"/>
      <c r="F151" s="125"/>
      <c r="G151" s="125"/>
      <c r="H151" s="125"/>
      <c r="I151" s="128" t="s">
        <v>127</v>
      </c>
      <c r="J151" s="128"/>
      <c r="K151" s="128" t="s">
        <v>134</v>
      </c>
      <c r="L151" s="119"/>
      <c r="M151" s="129" t="s">
        <v>144</v>
      </c>
      <c r="N151" s="11"/>
      <c r="O151" s="6"/>
    </row>
    <row r="152" spans="1:16" ht="15.6" x14ac:dyDescent="0.3">
      <c r="A152" s="26"/>
      <c r="B152" s="27" t="s">
        <v>82</v>
      </c>
      <c r="C152" s="27"/>
      <c r="D152" s="27"/>
      <c r="E152" s="27"/>
      <c r="F152" s="27"/>
      <c r="G152" s="27"/>
      <c r="H152" s="27"/>
      <c r="I152" s="56">
        <v>15000</v>
      </c>
      <c r="J152" s="27"/>
      <c r="K152" s="153">
        <v>5000</v>
      </c>
      <c r="L152" s="27"/>
      <c r="M152" s="56">
        <v>15000</v>
      </c>
      <c r="N152" s="27"/>
      <c r="O152" s="6"/>
    </row>
    <row r="153" spans="1:16" ht="15.6" x14ac:dyDescent="0.3">
      <c r="A153" s="26"/>
      <c r="B153" s="27" t="s">
        <v>83</v>
      </c>
      <c r="C153" s="27"/>
      <c r="D153" s="27"/>
      <c r="E153" s="27"/>
      <c r="F153" s="27"/>
      <c r="G153" s="27"/>
      <c r="H153" s="27"/>
      <c r="I153" s="56">
        <f>'Jan 2007'!I155</f>
        <v>3663</v>
      </c>
      <c r="J153" s="27"/>
      <c r="K153" s="56">
        <v>0</v>
      </c>
      <c r="L153" s="27"/>
      <c r="M153" s="56">
        <f>K153+I153</f>
        <v>3663</v>
      </c>
      <c r="N153" s="27"/>
      <c r="O153" s="6"/>
    </row>
    <row r="154" spans="1:16" ht="15.6" x14ac:dyDescent="0.3">
      <c r="A154" s="26"/>
      <c r="B154" s="27" t="s">
        <v>84</v>
      </c>
      <c r="C154" s="27"/>
      <c r="D154" s="27"/>
      <c r="E154" s="27"/>
      <c r="F154" s="27"/>
      <c r="G154" s="27"/>
      <c r="H154" s="27"/>
      <c r="I154" s="37">
        <v>512</v>
      </c>
      <c r="J154" s="27"/>
      <c r="K154" s="27">
        <v>0</v>
      </c>
      <c r="L154" s="27"/>
      <c r="M154" s="56">
        <f>K154+I154</f>
        <v>512</v>
      </c>
      <c r="N154" s="27"/>
      <c r="O154" s="6"/>
    </row>
    <row r="155" spans="1:16" ht="15.6" x14ac:dyDescent="0.3">
      <c r="A155" s="26"/>
      <c r="B155" s="27" t="s">
        <v>85</v>
      </c>
      <c r="C155" s="27"/>
      <c r="D155" s="27"/>
      <c r="E155" s="27"/>
      <c r="F155" s="27"/>
      <c r="G155" s="27"/>
      <c r="H155" s="27"/>
      <c r="I155" s="56">
        <f>I153+I154</f>
        <v>4175</v>
      </c>
      <c r="J155" s="27"/>
      <c r="K155" s="56">
        <f>K154+K153</f>
        <v>0</v>
      </c>
      <c r="L155" s="27"/>
      <c r="M155" s="56">
        <f>K155+I155</f>
        <v>4175</v>
      </c>
      <c r="N155" s="27"/>
      <c r="O155" s="6"/>
    </row>
    <row r="156" spans="1:16" ht="15.6" x14ac:dyDescent="0.3">
      <c r="A156" s="26"/>
      <c r="B156" s="27" t="s">
        <v>86</v>
      </c>
      <c r="C156" s="27"/>
      <c r="D156" s="27"/>
      <c r="E156" s="27"/>
      <c r="F156" s="27"/>
      <c r="G156" s="27"/>
      <c r="H156" s="27"/>
      <c r="I156" s="56">
        <f>I152-I155-K155</f>
        <v>10825</v>
      </c>
      <c r="J156" s="27"/>
      <c r="K156" s="43">
        <v>0</v>
      </c>
      <c r="L156" s="27"/>
      <c r="M156" s="56"/>
      <c r="N156" s="27"/>
      <c r="O156" s="6"/>
    </row>
    <row r="157" spans="1:16" ht="16.2" thickBot="1" x14ac:dyDescent="0.35">
      <c r="A157" s="26"/>
      <c r="B157" s="27"/>
      <c r="C157" s="27"/>
      <c r="D157" s="27"/>
      <c r="E157" s="27"/>
      <c r="F157" s="27"/>
      <c r="G157" s="27"/>
      <c r="H157" s="27"/>
      <c r="I157" s="27"/>
      <c r="J157" s="27"/>
      <c r="K157" s="27"/>
      <c r="L157" s="27"/>
      <c r="M157" s="66"/>
      <c r="N157" s="27"/>
      <c r="O157" s="6"/>
    </row>
    <row r="158" spans="1:16" ht="15.6" x14ac:dyDescent="0.3">
      <c r="A158" s="2"/>
      <c r="B158" s="5"/>
      <c r="C158" s="5"/>
      <c r="D158" s="5"/>
      <c r="E158" s="5"/>
      <c r="F158" s="5"/>
      <c r="G158" s="5"/>
      <c r="H158" s="5"/>
      <c r="I158" s="5"/>
      <c r="J158" s="5"/>
      <c r="K158" s="5"/>
      <c r="L158" s="5"/>
      <c r="M158" s="53"/>
      <c r="N158" s="5"/>
      <c r="O158" s="6"/>
    </row>
    <row r="159" spans="1:16" ht="15.6" x14ac:dyDescent="0.3">
      <c r="A159" s="7"/>
      <c r="B159" s="127" t="s">
        <v>87</v>
      </c>
      <c r="C159" s="15"/>
      <c r="D159" s="15"/>
      <c r="E159" s="9"/>
      <c r="F159" s="9"/>
      <c r="G159" s="9"/>
      <c r="H159" s="9"/>
      <c r="I159" s="9"/>
      <c r="J159" s="9"/>
      <c r="K159" s="9"/>
      <c r="L159" s="9"/>
      <c r="M159" s="72"/>
      <c r="N159" s="9"/>
      <c r="O159" s="6"/>
    </row>
    <row r="160" spans="1:16" ht="15.6" x14ac:dyDescent="0.3">
      <c r="A160" s="26"/>
      <c r="B160" s="27" t="s">
        <v>88</v>
      </c>
      <c r="C160" s="27"/>
      <c r="D160" s="27"/>
      <c r="E160" s="27"/>
      <c r="F160" s="27"/>
      <c r="G160" s="27"/>
      <c r="H160" s="27"/>
      <c r="I160" s="27"/>
      <c r="J160" s="27"/>
      <c r="K160" s="27"/>
      <c r="L160" s="27"/>
      <c r="M160" s="63">
        <f>(M88+M90+M91+M92+M93)/-M94</f>
        <v>2.4766326214794181</v>
      </c>
      <c r="N160" s="27" t="s">
        <v>145</v>
      </c>
      <c r="O160" s="6"/>
    </row>
    <row r="161" spans="1:15" ht="15.6" x14ac:dyDescent="0.3">
      <c r="A161" s="26"/>
      <c r="B161" s="27" t="s">
        <v>89</v>
      </c>
      <c r="C161" s="27"/>
      <c r="D161" s="27"/>
      <c r="E161" s="27"/>
      <c r="F161" s="27"/>
      <c r="G161" s="27"/>
      <c r="H161" s="27"/>
      <c r="I161" s="27"/>
      <c r="J161" s="27"/>
      <c r="K161" s="27"/>
      <c r="L161" s="27"/>
      <c r="M161" s="73">
        <v>2.52</v>
      </c>
      <c r="N161" s="27" t="s">
        <v>145</v>
      </c>
      <c r="O161" s="6"/>
    </row>
    <row r="162" spans="1:15" ht="15.6" x14ac:dyDescent="0.3">
      <c r="A162" s="26"/>
      <c r="B162" s="27" t="s">
        <v>90</v>
      </c>
      <c r="C162" s="27"/>
      <c r="D162" s="27"/>
      <c r="E162" s="27"/>
      <c r="F162" s="27"/>
      <c r="G162" s="27"/>
      <c r="H162" s="27"/>
      <c r="I162" s="27"/>
      <c r="J162" s="27"/>
      <c r="K162" s="27"/>
      <c r="L162" s="27"/>
      <c r="M162" s="63">
        <f>(M88+M90+M91+M92+M93+M94)/-M95</f>
        <v>7.408385093167702</v>
      </c>
      <c r="N162" s="27" t="s">
        <v>145</v>
      </c>
      <c r="O162" s="6"/>
    </row>
    <row r="163" spans="1:15" ht="15.6" x14ac:dyDescent="0.3">
      <c r="A163" s="26"/>
      <c r="B163" s="27" t="s">
        <v>91</v>
      </c>
      <c r="C163" s="27"/>
      <c r="D163" s="27"/>
      <c r="E163" s="27"/>
      <c r="F163" s="27"/>
      <c r="G163" s="27"/>
      <c r="H163" s="27"/>
      <c r="I163" s="27"/>
      <c r="J163" s="27"/>
      <c r="K163" s="27"/>
      <c r="L163" s="27"/>
      <c r="M163" s="74">
        <v>7.56</v>
      </c>
      <c r="N163" s="27" t="s">
        <v>145</v>
      </c>
      <c r="O163" s="6"/>
    </row>
    <row r="164" spans="1:15" ht="15.6" x14ac:dyDescent="0.3">
      <c r="A164" s="26"/>
      <c r="B164" s="27" t="s">
        <v>181</v>
      </c>
      <c r="C164" s="27"/>
      <c r="D164" s="27"/>
      <c r="E164" s="27"/>
      <c r="F164" s="27"/>
      <c r="G164" s="27"/>
      <c r="H164" s="27"/>
      <c r="I164" s="27"/>
      <c r="J164" s="27"/>
      <c r="K164" s="27"/>
      <c r="L164" s="27"/>
      <c r="M164" s="63">
        <f>(M88+M90+M91+M92+M93+M94+M95)/-M96</f>
        <v>9.597674418604651</v>
      </c>
      <c r="N164" s="27" t="s">
        <v>145</v>
      </c>
      <c r="O164" s="6"/>
    </row>
    <row r="165" spans="1:15" ht="15.6" x14ac:dyDescent="0.3">
      <c r="A165" s="26"/>
      <c r="B165" s="27" t="s">
        <v>182</v>
      </c>
      <c r="C165" s="27"/>
      <c r="D165" s="27"/>
      <c r="E165" s="27"/>
      <c r="F165" s="27"/>
      <c r="G165" s="27"/>
      <c r="H165" s="27"/>
      <c r="I165" s="27"/>
      <c r="J165" s="27"/>
      <c r="K165" s="27"/>
      <c r="L165" s="27"/>
      <c r="M165" s="74">
        <v>9.7799999999999994</v>
      </c>
      <c r="N165" s="27" t="s">
        <v>145</v>
      </c>
      <c r="O165" s="6"/>
    </row>
    <row r="166" spans="1:15" ht="15.6" x14ac:dyDescent="0.3">
      <c r="A166" s="26"/>
      <c r="B166" s="27"/>
      <c r="C166" s="27"/>
      <c r="D166" s="27"/>
      <c r="E166" s="27"/>
      <c r="F166" s="27"/>
      <c r="G166" s="27"/>
      <c r="H166" s="27"/>
      <c r="I166" s="27"/>
      <c r="J166" s="27"/>
      <c r="K166" s="27"/>
      <c r="L166" s="27"/>
      <c r="M166" s="27"/>
      <c r="N166" s="27"/>
      <c r="O166" s="6"/>
    </row>
    <row r="167" spans="1:15" ht="15.6" x14ac:dyDescent="0.3">
      <c r="A167" s="26"/>
      <c r="B167" s="27"/>
      <c r="C167" s="27"/>
      <c r="D167" s="27"/>
      <c r="E167" s="27"/>
      <c r="F167" s="27"/>
      <c r="G167" s="27"/>
      <c r="H167" s="27"/>
      <c r="I167" s="27"/>
      <c r="J167" s="27"/>
      <c r="K167" s="27"/>
      <c r="L167" s="27"/>
      <c r="M167" s="27"/>
      <c r="N167" s="27"/>
      <c r="O167" s="6"/>
    </row>
    <row r="168" spans="1:15" ht="15.6" x14ac:dyDescent="0.3">
      <c r="A168" s="7"/>
      <c r="B168" s="9"/>
      <c r="C168" s="9"/>
      <c r="D168" s="9"/>
      <c r="E168" s="9"/>
      <c r="F168" s="9"/>
      <c r="G168" s="9"/>
      <c r="H168" s="9"/>
      <c r="I168" s="9"/>
      <c r="J168" s="9"/>
      <c r="K168" s="9"/>
      <c r="L168" s="9"/>
      <c r="M168" s="9"/>
      <c r="N168" s="9"/>
      <c r="O168" s="6"/>
    </row>
    <row r="169" spans="1:15" ht="18" thickBot="1" x14ac:dyDescent="0.35">
      <c r="A169" s="109"/>
      <c r="B169" s="110" t="str">
        <f>B115</f>
        <v>PSF1 INVESTOR REPORT QUARTER ENDING APRIL 2007</v>
      </c>
      <c r="C169" s="144"/>
      <c r="D169" s="144"/>
      <c r="E169" s="144"/>
      <c r="F169" s="144"/>
      <c r="G169" s="144"/>
      <c r="H169" s="144"/>
      <c r="I169" s="144"/>
      <c r="J169" s="144"/>
      <c r="K169" s="144"/>
      <c r="L169" s="144"/>
      <c r="M169" s="144"/>
      <c r="N169" s="145"/>
      <c r="O169" s="6"/>
    </row>
    <row r="170" spans="1:15" ht="15.6" x14ac:dyDescent="0.3">
      <c r="A170" s="75"/>
      <c r="B170" s="64" t="s">
        <v>92</v>
      </c>
      <c r="C170" s="76"/>
      <c r="D170" s="76"/>
      <c r="E170" s="76"/>
      <c r="F170" s="76"/>
      <c r="G170" s="76"/>
      <c r="H170" s="77"/>
      <c r="I170" s="77"/>
      <c r="J170" s="77"/>
      <c r="K170" s="78">
        <f>D79</f>
        <v>39202</v>
      </c>
      <c r="L170" s="5"/>
      <c r="M170" s="5"/>
      <c r="N170" s="5"/>
      <c r="O170" s="6"/>
    </row>
    <row r="171" spans="1:15" ht="15.6" x14ac:dyDescent="0.3">
      <c r="A171" s="79"/>
      <c r="B171" s="80"/>
      <c r="C171" s="81"/>
      <c r="D171" s="81"/>
      <c r="E171" s="81"/>
      <c r="F171" s="81"/>
      <c r="G171" s="81"/>
      <c r="H171" s="82"/>
      <c r="I171" s="82"/>
      <c r="J171" s="82"/>
      <c r="K171" s="82"/>
      <c r="L171" s="9"/>
      <c r="M171" s="9"/>
      <c r="N171" s="9"/>
      <c r="O171" s="6"/>
    </row>
    <row r="172" spans="1:15" ht="15.6" x14ac:dyDescent="0.3">
      <c r="A172" s="83"/>
      <c r="B172" s="84" t="s">
        <v>93</v>
      </c>
      <c r="C172" s="85"/>
      <c r="D172" s="85"/>
      <c r="E172" s="85"/>
      <c r="F172" s="85"/>
      <c r="G172" s="85"/>
      <c r="H172" s="70"/>
      <c r="I172" s="70"/>
      <c r="J172" s="70"/>
      <c r="K172" s="86">
        <v>9.4600000000000004E-2</v>
      </c>
      <c r="L172" s="27"/>
      <c r="M172" s="27"/>
      <c r="N172" s="27"/>
      <c r="O172" s="6"/>
    </row>
    <row r="173" spans="1:15" ht="15.6" x14ac:dyDescent="0.3">
      <c r="A173" s="83"/>
      <c r="B173" s="84" t="s">
        <v>94</v>
      </c>
      <c r="C173" s="85"/>
      <c r="D173" s="85"/>
      <c r="E173" s="85"/>
      <c r="F173" s="85"/>
      <c r="G173" s="85"/>
      <c r="H173" s="70"/>
      <c r="I173" s="70"/>
      <c r="J173" s="70"/>
      <c r="K173" s="42">
        <v>5.2327499999999992E-2</v>
      </c>
      <c r="L173" s="27"/>
      <c r="M173" s="27"/>
      <c r="N173" s="27"/>
      <c r="O173" s="6"/>
    </row>
    <row r="174" spans="1:15" ht="15.6" x14ac:dyDescent="0.3">
      <c r="A174" s="83"/>
      <c r="B174" s="84" t="s">
        <v>95</v>
      </c>
      <c r="C174" s="85"/>
      <c r="D174" s="85"/>
      <c r="E174" s="85"/>
      <c r="F174" s="85"/>
      <c r="G174" s="85"/>
      <c r="H174" s="70"/>
      <c r="I174" s="70"/>
      <c r="J174" s="70"/>
      <c r="K174" s="86">
        <f>K172-K173</f>
        <v>4.2272500000000011E-2</v>
      </c>
      <c r="L174" s="27"/>
      <c r="M174" s="27"/>
      <c r="N174" s="27"/>
      <c r="O174" s="6"/>
    </row>
    <row r="175" spans="1:15" ht="15.6" x14ac:dyDescent="0.3">
      <c r="A175" s="83"/>
      <c r="B175" s="84" t="s">
        <v>96</v>
      </c>
      <c r="C175" s="85"/>
      <c r="D175" s="85"/>
      <c r="E175" s="85"/>
      <c r="F175" s="85"/>
      <c r="G175" s="85"/>
      <c r="H175" s="70"/>
      <c r="I175" s="70"/>
      <c r="J175" s="70"/>
      <c r="K175" s="86">
        <v>9.0800000000000006E-2</v>
      </c>
      <c r="L175" s="27"/>
      <c r="M175" s="27"/>
      <c r="N175" s="27"/>
      <c r="O175" s="6"/>
    </row>
    <row r="176" spans="1:15" ht="15.6" x14ac:dyDescent="0.3">
      <c r="A176" s="83"/>
      <c r="B176" s="84" t="s">
        <v>97</v>
      </c>
      <c r="C176" s="85"/>
      <c r="D176" s="85"/>
      <c r="E176" s="85"/>
      <c r="F176" s="85"/>
      <c r="G176" s="85"/>
      <c r="H176" s="70"/>
      <c r="I176" s="70"/>
      <c r="J176" s="70"/>
      <c r="K176" s="86">
        <f>M36</f>
        <v>5.8846299999999997E-2</v>
      </c>
      <c r="L176" s="27"/>
      <c r="M176" s="27"/>
      <c r="N176" s="27"/>
      <c r="O176" s="6"/>
    </row>
    <row r="177" spans="1:15" ht="15.6" x14ac:dyDescent="0.3">
      <c r="A177" s="83"/>
      <c r="B177" s="84" t="s">
        <v>98</v>
      </c>
      <c r="C177" s="85"/>
      <c r="D177" s="85"/>
      <c r="E177" s="85"/>
      <c r="F177" s="85"/>
      <c r="G177" s="85"/>
      <c r="H177" s="70"/>
      <c r="I177" s="70"/>
      <c r="J177" s="70"/>
      <c r="K177" s="86">
        <f>K175-K176</f>
        <v>3.1953700000000008E-2</v>
      </c>
      <c r="L177" s="27"/>
      <c r="M177" s="27"/>
      <c r="N177" s="27"/>
      <c r="O177" s="6"/>
    </row>
    <row r="178" spans="1:15" ht="15.6" x14ac:dyDescent="0.3">
      <c r="A178" s="83"/>
      <c r="B178" s="84" t="s">
        <v>211</v>
      </c>
      <c r="C178" s="85"/>
      <c r="D178" s="85"/>
      <c r="E178" s="85"/>
      <c r="F178" s="85"/>
      <c r="G178" s="85"/>
      <c r="H178" s="70"/>
      <c r="I178" s="70"/>
      <c r="J178" s="70"/>
      <c r="K178" s="86">
        <f>(+M88+M90)/E59</f>
        <v>3.1208623485643423E-2</v>
      </c>
      <c r="L178" s="27"/>
      <c r="M178" s="27"/>
      <c r="N178" s="27"/>
      <c r="O178" s="6"/>
    </row>
    <row r="179" spans="1:15" ht="15.6" x14ac:dyDescent="0.3">
      <c r="A179" s="83"/>
      <c r="B179" s="84" t="s">
        <v>99</v>
      </c>
      <c r="C179" s="85"/>
      <c r="D179" s="85"/>
      <c r="E179" s="85"/>
      <c r="F179" s="85"/>
      <c r="G179" s="85"/>
      <c r="H179" s="70"/>
      <c r="I179" s="70"/>
      <c r="J179" s="70"/>
      <c r="K179" s="139">
        <v>49628</v>
      </c>
      <c r="L179" s="27"/>
      <c r="M179" s="27"/>
      <c r="N179" s="27"/>
      <c r="O179" s="6"/>
    </row>
    <row r="180" spans="1:15" ht="15.6" x14ac:dyDescent="0.3">
      <c r="A180" s="83"/>
      <c r="B180" s="84" t="s">
        <v>100</v>
      </c>
      <c r="C180" s="85"/>
      <c r="D180" s="85"/>
      <c r="E180" s="85"/>
      <c r="F180" s="85"/>
      <c r="G180" s="85"/>
      <c r="H180" s="70"/>
      <c r="I180" s="70"/>
      <c r="J180" s="70"/>
      <c r="K180" s="139">
        <v>49628</v>
      </c>
      <c r="L180" s="27"/>
      <c r="M180" s="27"/>
      <c r="N180" s="27"/>
      <c r="O180" s="6"/>
    </row>
    <row r="181" spans="1:15" ht="15.6" x14ac:dyDescent="0.3">
      <c r="A181" s="83"/>
      <c r="B181" s="84" t="s">
        <v>165</v>
      </c>
      <c r="C181" s="85"/>
      <c r="D181" s="85"/>
      <c r="E181" s="85"/>
      <c r="F181" s="85"/>
      <c r="G181" s="85"/>
      <c r="H181" s="70"/>
      <c r="I181" s="70"/>
      <c r="J181" s="70"/>
      <c r="K181" s="139">
        <v>49628</v>
      </c>
      <c r="L181" s="27"/>
      <c r="M181" s="27"/>
      <c r="N181" s="27"/>
      <c r="O181" s="6"/>
    </row>
    <row r="182" spans="1:15" ht="15.6" x14ac:dyDescent="0.3">
      <c r="A182" s="83"/>
      <c r="B182" s="84" t="s">
        <v>101</v>
      </c>
      <c r="C182" s="85"/>
      <c r="D182" s="85"/>
      <c r="E182" s="85"/>
      <c r="F182" s="85"/>
      <c r="G182" s="85"/>
      <c r="H182" s="70"/>
      <c r="I182" s="70"/>
      <c r="J182" s="70"/>
      <c r="K182" s="135">
        <v>15.78</v>
      </c>
      <c r="L182" s="27" t="s">
        <v>139</v>
      </c>
      <c r="M182" s="27"/>
      <c r="N182" s="27"/>
      <c r="O182" s="6"/>
    </row>
    <row r="183" spans="1:15" ht="15.6" x14ac:dyDescent="0.3">
      <c r="A183" s="83"/>
      <c r="B183" s="84" t="s">
        <v>102</v>
      </c>
      <c r="C183" s="85"/>
      <c r="D183" s="85"/>
      <c r="E183" s="85"/>
      <c r="F183" s="85"/>
      <c r="G183" s="85"/>
      <c r="H183" s="70"/>
      <c r="I183" s="70"/>
      <c r="J183" s="70"/>
      <c r="K183" s="135">
        <v>15.64</v>
      </c>
      <c r="L183" s="27" t="s">
        <v>139</v>
      </c>
      <c r="M183" s="27"/>
      <c r="N183" s="27"/>
      <c r="O183" s="6"/>
    </row>
    <row r="184" spans="1:15" ht="15.6" x14ac:dyDescent="0.3">
      <c r="A184" s="83"/>
      <c r="B184" s="84" t="s">
        <v>103</v>
      </c>
      <c r="C184" s="85"/>
      <c r="D184" s="85"/>
      <c r="E184" s="85"/>
      <c r="F184" s="85"/>
      <c r="G184" s="85"/>
      <c r="H184" s="70"/>
      <c r="I184" s="70"/>
      <c r="J184" s="70"/>
      <c r="K184" s="138">
        <f>K81/E59</f>
        <v>0.12583420776495277</v>
      </c>
      <c r="L184" s="27"/>
      <c r="M184" s="27"/>
      <c r="N184" s="27"/>
      <c r="O184" s="6"/>
    </row>
    <row r="185" spans="1:15" ht="15.6" x14ac:dyDescent="0.3">
      <c r="A185" s="83"/>
      <c r="B185" s="84" t="s">
        <v>104</v>
      </c>
      <c r="C185" s="85"/>
      <c r="D185" s="85"/>
      <c r="E185" s="85"/>
      <c r="F185" s="85"/>
      <c r="G185" s="85"/>
      <c r="H185" s="70"/>
      <c r="I185" s="70"/>
      <c r="J185" s="70"/>
      <c r="K185" s="86">
        <v>0.39150000000000001</v>
      </c>
      <c r="L185" s="27"/>
      <c r="M185" s="27"/>
      <c r="N185" s="27"/>
      <c r="O185" s="6"/>
    </row>
    <row r="186" spans="1:15" ht="15.6" x14ac:dyDescent="0.3">
      <c r="A186" s="83"/>
      <c r="B186" s="84"/>
      <c r="C186" s="84"/>
      <c r="D186" s="84"/>
      <c r="E186" s="84"/>
      <c r="F186" s="84"/>
      <c r="G186" s="84"/>
      <c r="H186" s="27"/>
      <c r="I186" s="27"/>
      <c r="J186" s="27"/>
      <c r="K186" s="66"/>
      <c r="L186" s="27"/>
      <c r="M186" s="87"/>
      <c r="N186" s="27"/>
      <c r="O186" s="6"/>
    </row>
    <row r="187" spans="1:15" ht="15.6" x14ac:dyDescent="0.3">
      <c r="A187" s="88"/>
      <c r="B187" s="16" t="s">
        <v>105</v>
      </c>
      <c r="C187" s="89"/>
      <c r="D187" s="89"/>
      <c r="E187" s="90"/>
      <c r="F187" s="89"/>
      <c r="G187" s="90"/>
      <c r="H187" s="89"/>
      <c r="I187" s="90"/>
      <c r="J187" s="19" t="s">
        <v>128</v>
      </c>
      <c r="K187" s="91" t="s">
        <v>135</v>
      </c>
      <c r="L187" s="9"/>
      <c r="M187" s="9"/>
      <c r="N187" s="9"/>
      <c r="O187" s="6"/>
    </row>
    <row r="188" spans="1:15" ht="15.6" x14ac:dyDescent="0.3">
      <c r="A188" s="92"/>
      <c r="B188" s="84" t="s">
        <v>106</v>
      </c>
      <c r="C188" s="57"/>
      <c r="D188" s="57"/>
      <c r="E188" s="57"/>
      <c r="F188" s="57"/>
      <c r="G188" s="27"/>
      <c r="H188" s="27"/>
      <c r="I188" s="27"/>
      <c r="J188" s="33">
        <v>660</v>
      </c>
      <c r="K188" s="93">
        <v>19934</v>
      </c>
      <c r="L188" s="27"/>
      <c r="M188" s="87"/>
      <c r="N188" s="94"/>
      <c r="O188" s="6"/>
    </row>
    <row r="189" spans="1:15" ht="15.6" x14ac:dyDescent="0.3">
      <c r="A189" s="92"/>
      <c r="B189" s="84" t="s">
        <v>196</v>
      </c>
      <c r="C189" s="57"/>
      <c r="D189" s="57"/>
      <c r="E189" s="57"/>
      <c r="F189" s="57"/>
      <c r="G189" s="27"/>
      <c r="H189" s="27"/>
      <c r="I189" s="27"/>
      <c r="J189" s="33">
        <v>16</v>
      </c>
      <c r="K189" s="93">
        <v>458</v>
      </c>
      <c r="L189" s="27"/>
      <c r="M189" s="87"/>
      <c r="N189" s="94"/>
      <c r="O189" s="6"/>
    </row>
    <row r="190" spans="1:15" ht="15.6" x14ac:dyDescent="0.3">
      <c r="A190" s="92"/>
      <c r="B190" s="130" t="s">
        <v>107</v>
      </c>
      <c r="C190" s="57"/>
      <c r="D190" s="57"/>
      <c r="E190" s="57"/>
      <c r="F190" s="57"/>
      <c r="G190" s="27"/>
      <c r="H190" s="27"/>
      <c r="I190" s="27"/>
      <c r="J190" s="27"/>
      <c r="K190" s="93">
        <v>0</v>
      </c>
      <c r="L190" s="27"/>
      <c r="M190" s="87"/>
      <c r="N190" s="94"/>
      <c r="O190" s="6"/>
    </row>
    <row r="191" spans="1:15" ht="15.6" x14ac:dyDescent="0.3">
      <c r="A191" s="92"/>
      <c r="B191" s="130" t="s">
        <v>108</v>
      </c>
      <c r="C191" s="57"/>
      <c r="D191" s="57"/>
      <c r="E191" s="57"/>
      <c r="F191" s="57"/>
      <c r="G191" s="27"/>
      <c r="H191" s="27"/>
      <c r="I191" s="27"/>
      <c r="J191" s="27"/>
      <c r="K191" s="93">
        <f>+I59</f>
        <v>32390</v>
      </c>
      <c r="L191" s="27"/>
      <c r="M191" s="87"/>
      <c r="N191" s="94"/>
      <c r="O191" s="6"/>
    </row>
    <row r="192" spans="1:15" ht="15.6" x14ac:dyDescent="0.3">
      <c r="A192" s="95"/>
      <c r="B192" s="130" t="s">
        <v>109</v>
      </c>
      <c r="C192" s="57"/>
      <c r="D192" s="57"/>
      <c r="E192" s="84"/>
      <c r="F192" s="84"/>
      <c r="G192" s="84"/>
      <c r="H192" s="27"/>
      <c r="I192" s="27"/>
      <c r="J192" s="27"/>
      <c r="K192" s="93"/>
      <c r="L192" s="27"/>
      <c r="M192" s="87"/>
      <c r="N192" s="96"/>
      <c r="O192" s="6"/>
    </row>
    <row r="193" spans="1:15" ht="15.6" x14ac:dyDescent="0.3">
      <c r="A193" s="95"/>
      <c r="B193" s="131" t="s">
        <v>110</v>
      </c>
      <c r="C193" s="57"/>
      <c r="D193" s="57"/>
      <c r="E193" s="84"/>
      <c r="F193" s="84"/>
      <c r="G193" s="84"/>
      <c r="H193" s="27"/>
      <c r="I193" s="27"/>
      <c r="J193" s="27"/>
      <c r="K193" s="93">
        <f>+M140</f>
        <v>520</v>
      </c>
      <c r="L193" s="27"/>
      <c r="M193" s="87"/>
      <c r="N193" s="96"/>
      <c r="O193" s="6"/>
    </row>
    <row r="194" spans="1:15" ht="15.6" x14ac:dyDescent="0.3">
      <c r="A194" s="92"/>
      <c r="B194" s="84" t="s">
        <v>111</v>
      </c>
      <c r="C194" s="57"/>
      <c r="D194" s="57"/>
      <c r="E194" s="57"/>
      <c r="F194" s="57"/>
      <c r="G194" s="57"/>
      <c r="H194" s="27"/>
      <c r="I194" s="27"/>
      <c r="J194" s="27"/>
      <c r="K194" s="93">
        <f>'Jan 2007'!K194+'April 2007'!K193</f>
        <v>5104</v>
      </c>
      <c r="L194" s="27"/>
      <c r="M194" s="87"/>
      <c r="N194" s="96"/>
      <c r="O194" s="6"/>
    </row>
    <row r="195" spans="1:15" ht="15.6" x14ac:dyDescent="0.3">
      <c r="A195" s="92"/>
      <c r="B195" s="84" t="s">
        <v>112</v>
      </c>
      <c r="C195" s="57"/>
      <c r="D195" s="57"/>
      <c r="E195" s="57"/>
      <c r="F195" s="57"/>
      <c r="G195" s="57"/>
      <c r="H195" s="27"/>
      <c r="I195" s="27"/>
      <c r="J195" s="27"/>
      <c r="K195" s="157">
        <f>+'Jan 2007'!K195+340</f>
        <v>1949</v>
      </c>
      <c r="L195" s="27"/>
      <c r="M195" s="87"/>
      <c r="N195" s="96"/>
      <c r="O195" s="6"/>
    </row>
    <row r="196" spans="1:15" ht="15.6" x14ac:dyDescent="0.3">
      <c r="A196" s="95"/>
      <c r="B196" s="130" t="s">
        <v>241</v>
      </c>
      <c r="C196" s="57"/>
      <c r="D196" s="57"/>
      <c r="E196" s="84"/>
      <c r="F196" s="84"/>
      <c r="G196" s="84"/>
      <c r="H196" s="27"/>
      <c r="I196" s="27"/>
      <c r="J196" s="27"/>
      <c r="K196" s="93"/>
      <c r="L196" s="27"/>
      <c r="M196" s="87"/>
      <c r="N196" s="96"/>
      <c r="O196" s="6"/>
    </row>
    <row r="197" spans="1:15" ht="15.6" x14ac:dyDescent="0.3">
      <c r="A197" s="95"/>
      <c r="B197" s="84" t="s">
        <v>237</v>
      </c>
      <c r="C197" s="57"/>
      <c r="D197" s="57"/>
      <c r="E197" s="84"/>
      <c r="F197" s="84"/>
      <c r="G197" s="84"/>
      <c r="H197" s="27"/>
      <c r="I197" s="27"/>
      <c r="J197" s="27"/>
      <c r="K197" s="93">
        <v>10</v>
      </c>
      <c r="L197" s="27"/>
      <c r="M197" s="87"/>
      <c r="N197" s="96"/>
      <c r="O197" s="6"/>
    </row>
    <row r="198" spans="1:15" ht="15.6" x14ac:dyDescent="0.3">
      <c r="A198" s="92"/>
      <c r="B198" s="84" t="s">
        <v>113</v>
      </c>
      <c r="C198" s="57"/>
      <c r="D198" s="57"/>
      <c r="E198" s="97"/>
      <c r="F198" s="97"/>
      <c r="G198" s="98"/>
      <c r="H198" s="27"/>
      <c r="I198" s="27"/>
      <c r="J198" s="27"/>
      <c r="K198" s="68">
        <v>13.93</v>
      </c>
      <c r="L198" s="27"/>
      <c r="M198" s="87"/>
      <c r="N198" s="96"/>
      <c r="O198" s="6"/>
    </row>
    <row r="199" spans="1:15" ht="15.6" x14ac:dyDescent="0.3">
      <c r="A199" s="92"/>
      <c r="B199" s="84" t="s">
        <v>114</v>
      </c>
      <c r="C199" s="57"/>
      <c r="D199" s="57"/>
      <c r="E199" s="97"/>
      <c r="F199" s="97"/>
      <c r="G199" s="98"/>
      <c r="H199" s="27"/>
      <c r="I199" s="27"/>
      <c r="J199" s="27"/>
      <c r="K199" s="68">
        <v>4.47</v>
      </c>
      <c r="L199" s="27"/>
      <c r="M199" s="87"/>
      <c r="N199" s="96"/>
      <c r="O199" s="6"/>
    </row>
    <row r="200" spans="1:15" ht="15.6" x14ac:dyDescent="0.3">
      <c r="A200" s="92"/>
      <c r="B200" s="84"/>
      <c r="C200" s="57"/>
      <c r="D200" s="57"/>
      <c r="E200" s="99"/>
      <c r="F200" s="97"/>
      <c r="G200" s="98"/>
      <c r="H200" s="27"/>
      <c r="I200" s="27"/>
      <c r="J200" s="27"/>
      <c r="K200" s="100"/>
      <c r="L200" s="27"/>
      <c r="M200" s="87"/>
      <c r="N200" s="96"/>
      <c r="O200" s="6"/>
    </row>
    <row r="201" spans="1:15" ht="17.399999999999999" x14ac:dyDescent="0.3">
      <c r="A201" s="92"/>
      <c r="B201" s="148" t="s">
        <v>200</v>
      </c>
      <c r="C201" s="57"/>
      <c r="D201" s="57"/>
      <c r="E201" s="99"/>
      <c r="F201" s="97"/>
      <c r="G201" s="98"/>
      <c r="H201" s="27"/>
      <c r="I201" s="27"/>
      <c r="J201" s="27"/>
      <c r="K201" s="151" t="s">
        <v>199</v>
      </c>
      <c r="L201" s="27"/>
      <c r="M201" s="87"/>
      <c r="N201" s="96"/>
      <c r="O201" s="6"/>
    </row>
    <row r="202" spans="1:15" ht="15.6" x14ac:dyDescent="0.3">
      <c r="A202" s="92"/>
      <c r="B202" s="84"/>
      <c r="C202" s="57"/>
      <c r="D202" s="57"/>
      <c r="E202" s="99"/>
      <c r="F202" s="97"/>
      <c r="G202" s="98"/>
      <c r="H202" s="27"/>
      <c r="I202" s="27"/>
      <c r="J202" s="27"/>
      <c r="K202" s="100"/>
      <c r="L202" s="27"/>
      <c r="M202" s="87"/>
      <c r="N202" s="96"/>
      <c r="O202" s="6"/>
    </row>
    <row r="203" spans="1:15" ht="15.6" x14ac:dyDescent="0.3">
      <c r="A203" s="7"/>
      <c r="B203" s="16" t="s">
        <v>115</v>
      </c>
      <c r="C203" s="89"/>
      <c r="D203" s="89"/>
      <c r="E203" s="90"/>
      <c r="F203" s="89"/>
      <c r="G203" s="90"/>
      <c r="H203" s="89"/>
      <c r="I203" s="91" t="s">
        <v>128</v>
      </c>
      <c r="J203" s="19" t="s">
        <v>129</v>
      </c>
      <c r="K203" s="91" t="s">
        <v>137</v>
      </c>
      <c r="L203" s="19" t="s">
        <v>129</v>
      </c>
      <c r="M203" s="9"/>
      <c r="N203" s="101"/>
      <c r="O203" s="6"/>
    </row>
    <row r="204" spans="1:15" ht="15.6" x14ac:dyDescent="0.3">
      <c r="A204" s="26"/>
      <c r="B204" s="57" t="s">
        <v>116</v>
      </c>
      <c r="C204" s="102"/>
      <c r="D204" s="102"/>
      <c r="E204" s="57"/>
      <c r="F204" s="102"/>
      <c r="G204" s="27"/>
      <c r="H204" s="102"/>
      <c r="I204" s="57">
        <v>8804</v>
      </c>
      <c r="J204" s="103">
        <f>I204/I213</f>
        <v>0.93026204564666104</v>
      </c>
      <c r="K204" s="56">
        <v>241033</v>
      </c>
      <c r="L204" s="136">
        <f>K204/K213</f>
        <v>0.92361486318193486</v>
      </c>
      <c r="M204" s="87"/>
      <c r="N204" s="96"/>
      <c r="O204" s="6"/>
    </row>
    <row r="205" spans="1:15" ht="15.6" x14ac:dyDescent="0.3">
      <c r="A205" s="26"/>
      <c r="B205" s="57" t="s">
        <v>117</v>
      </c>
      <c r="C205" s="102"/>
      <c r="D205" s="102"/>
      <c r="E205" s="57"/>
      <c r="F205" s="102"/>
      <c r="G205" s="27"/>
      <c r="H205" s="103"/>
      <c r="I205" s="57">
        <v>186</v>
      </c>
      <c r="J205" s="103">
        <f>I205/I213</f>
        <v>1.9653423499577344E-2</v>
      </c>
      <c r="K205" s="56">
        <v>5537</v>
      </c>
      <c r="L205" s="136">
        <f>K205/K213</f>
        <v>2.1217242026769667E-2</v>
      </c>
      <c r="M205" s="87"/>
      <c r="N205" s="96"/>
      <c r="O205" s="6"/>
    </row>
    <row r="206" spans="1:15" ht="15.6" x14ac:dyDescent="0.3">
      <c r="A206" s="26"/>
      <c r="B206" s="57" t="s">
        <v>118</v>
      </c>
      <c r="C206" s="102"/>
      <c r="D206" s="102"/>
      <c r="E206" s="57"/>
      <c r="F206" s="102"/>
      <c r="G206" s="27"/>
      <c r="H206" s="103"/>
      <c r="I206" s="57">
        <v>109</v>
      </c>
      <c r="J206" s="103">
        <f>I206/I213</f>
        <v>1.1517328825021133E-2</v>
      </c>
      <c r="K206" s="56">
        <v>3305</v>
      </c>
      <c r="L206" s="136">
        <f>K206/K213</f>
        <v>1.2664436499634054E-2</v>
      </c>
      <c r="M206" s="87"/>
      <c r="N206" s="96"/>
      <c r="O206" s="6"/>
    </row>
    <row r="207" spans="1:15" ht="15.6" x14ac:dyDescent="0.3">
      <c r="A207" s="26"/>
      <c r="B207" s="57" t="s">
        <v>167</v>
      </c>
      <c r="C207" s="102"/>
      <c r="D207" s="102"/>
      <c r="E207" s="57"/>
      <c r="F207" s="102"/>
      <c r="G207" s="27"/>
      <c r="H207" s="103"/>
      <c r="I207" s="57">
        <v>76</v>
      </c>
      <c r="J207" s="103">
        <f>I207/I213</f>
        <v>8.0304311073541839E-3</v>
      </c>
      <c r="K207" s="56">
        <v>2261</v>
      </c>
      <c r="L207" s="136">
        <f>K207/K213</f>
        <v>8.6639306885544914E-3</v>
      </c>
      <c r="M207" s="87"/>
      <c r="N207" s="96"/>
      <c r="O207" s="6"/>
    </row>
    <row r="208" spans="1:15" ht="15.6" x14ac:dyDescent="0.3">
      <c r="A208" s="26"/>
      <c r="B208" s="57" t="s">
        <v>168</v>
      </c>
      <c r="C208" s="102"/>
      <c r="D208" s="102"/>
      <c r="E208" s="57"/>
      <c r="F208" s="102"/>
      <c r="G208" s="27"/>
      <c r="H208" s="103"/>
      <c r="I208" s="57">
        <v>68</v>
      </c>
      <c r="J208" s="103">
        <f>I208/I213</f>
        <v>7.1851225697379542E-3</v>
      </c>
      <c r="K208" s="56">
        <v>2294</v>
      </c>
      <c r="L208" s="136">
        <f>K208/K213</f>
        <v>8.7903834584449371E-3</v>
      </c>
      <c r="M208" s="87"/>
      <c r="N208" s="96"/>
      <c r="O208" s="6"/>
    </row>
    <row r="209" spans="1:15" ht="15.6" x14ac:dyDescent="0.3">
      <c r="A209" s="26"/>
      <c r="B209" s="57" t="s">
        <v>169</v>
      </c>
      <c r="C209" s="102"/>
      <c r="D209" s="102"/>
      <c r="E209" s="57"/>
      <c r="F209" s="102"/>
      <c r="G209" s="27"/>
      <c r="H209" s="103"/>
      <c r="I209" s="57">
        <v>50</v>
      </c>
      <c r="J209" s="103">
        <f>I209/I213</f>
        <v>5.2831783601014369E-3</v>
      </c>
      <c r="K209" s="56">
        <v>1309</v>
      </c>
      <c r="L209" s="136">
        <f>K209/K213</f>
        <v>5.0159598723210214E-3</v>
      </c>
      <c r="M209" s="87"/>
      <c r="N209" s="96"/>
      <c r="O209" s="6"/>
    </row>
    <row r="210" spans="1:15" ht="15.6" x14ac:dyDescent="0.3">
      <c r="A210" s="26"/>
      <c r="B210" s="57" t="s">
        <v>176</v>
      </c>
      <c r="C210" s="102"/>
      <c r="D210" s="102"/>
      <c r="E210" s="57"/>
      <c r="F210" s="102"/>
      <c r="G210" s="27"/>
      <c r="H210" s="103"/>
      <c r="I210" s="57">
        <v>109</v>
      </c>
      <c r="J210" s="103">
        <f>I210/I213</f>
        <v>1.1517328825021133E-2</v>
      </c>
      <c r="K210" s="56">
        <v>3154</v>
      </c>
      <c r="L210" s="136">
        <f>K210/K213</f>
        <v>1.2085819279832316E-2</v>
      </c>
      <c r="M210" s="87"/>
      <c r="N210" s="96"/>
      <c r="O210" s="6"/>
    </row>
    <row r="211" spans="1:15" ht="15.6" x14ac:dyDescent="0.3">
      <c r="A211" s="26"/>
      <c r="B211" s="57" t="s">
        <v>202</v>
      </c>
      <c r="C211" s="102"/>
      <c r="D211" s="102"/>
      <c r="E211" s="57"/>
      <c r="F211" s="102"/>
      <c r="G211" s="27"/>
      <c r="H211" s="103"/>
      <c r="I211" s="57">
        <v>62</v>
      </c>
      <c r="J211" s="103">
        <f>+I211/I213</f>
        <v>6.5511411665257818E-3</v>
      </c>
      <c r="K211" s="56">
        <v>2074</v>
      </c>
      <c r="L211" s="136">
        <f>+K211/K213</f>
        <v>7.947364992508631E-3</v>
      </c>
      <c r="M211" s="87"/>
      <c r="N211" s="94"/>
      <c r="O211" s="6"/>
    </row>
    <row r="212" spans="1:15" ht="15.6" x14ac:dyDescent="0.3">
      <c r="A212" s="26"/>
      <c r="B212" s="57" t="s">
        <v>170</v>
      </c>
      <c r="C212" s="102"/>
      <c r="D212" s="102"/>
      <c r="E212" s="57"/>
      <c r="F212" s="102"/>
      <c r="G212" s="27"/>
      <c r="H212" s="103"/>
      <c r="I212" s="57">
        <v>0</v>
      </c>
      <c r="J212" s="103">
        <f>I212/I213</f>
        <v>0</v>
      </c>
      <c r="K212" s="56">
        <v>0</v>
      </c>
      <c r="L212" s="136">
        <f>+K212/K213</f>
        <v>0</v>
      </c>
      <c r="M212" s="87"/>
      <c r="N212" s="94"/>
      <c r="O212" s="6"/>
    </row>
    <row r="213" spans="1:15" ht="15.6" x14ac:dyDescent="0.3">
      <c r="A213" s="26"/>
      <c r="B213" s="27" t="s">
        <v>189</v>
      </c>
      <c r="C213" s="27"/>
      <c r="D213" s="27"/>
      <c r="E213" s="27"/>
      <c r="F213" s="27"/>
      <c r="G213" s="27"/>
      <c r="H213" s="27"/>
      <c r="I213" s="37">
        <f>SUM(I204:I212)</f>
        <v>9464</v>
      </c>
      <c r="J213" s="136">
        <f>SUM(J204:J212)</f>
        <v>0.99999999999999978</v>
      </c>
      <c r="K213" s="56">
        <f>SUM(K204:K212)</f>
        <v>260967</v>
      </c>
      <c r="L213" s="136">
        <f>SUM(L204:L212)</f>
        <v>1</v>
      </c>
      <c r="M213" s="27"/>
      <c r="N213" s="27"/>
      <c r="O213" s="6"/>
    </row>
    <row r="214" spans="1:15" ht="15.6" x14ac:dyDescent="0.3">
      <c r="A214" s="26"/>
      <c r="B214" s="27"/>
      <c r="C214" s="27"/>
      <c r="D214" s="27"/>
      <c r="E214" s="27"/>
      <c r="F214" s="27"/>
      <c r="G214" s="27"/>
      <c r="H214" s="27"/>
      <c r="I214" s="37"/>
      <c r="J214" s="136"/>
      <c r="K214" s="56"/>
      <c r="L214" s="136"/>
      <c r="M214" s="27"/>
      <c r="N214" s="27"/>
      <c r="O214" s="6"/>
    </row>
    <row r="215" spans="1:15" ht="15.6" x14ac:dyDescent="0.3">
      <c r="A215" s="26"/>
      <c r="B215" s="27" t="s">
        <v>144</v>
      </c>
      <c r="C215" s="27"/>
      <c r="D215" s="27"/>
      <c r="E215" s="27"/>
      <c r="F215" s="27"/>
      <c r="G215" s="27"/>
      <c r="H215" s="27"/>
      <c r="I215" s="37">
        <f>+I213+I214</f>
        <v>9464</v>
      </c>
      <c r="J215" s="136"/>
      <c r="K215" s="56">
        <f>+K213+K214</f>
        <v>260967</v>
      </c>
      <c r="L215" s="136"/>
      <c r="M215" s="27"/>
      <c r="N215" s="27"/>
      <c r="O215" s="6"/>
    </row>
    <row r="216" spans="1:15" ht="15.6" x14ac:dyDescent="0.3">
      <c r="A216" s="26"/>
      <c r="B216" s="27"/>
      <c r="C216" s="27"/>
      <c r="D216" s="27"/>
      <c r="E216" s="27"/>
      <c r="F216" s="27"/>
      <c r="G216" s="27"/>
      <c r="H216" s="27"/>
      <c r="I216" s="37"/>
      <c r="J216" s="104"/>
      <c r="K216" s="56"/>
      <c r="L216" s="104"/>
      <c r="M216" s="27"/>
      <c r="N216" s="27"/>
      <c r="O216" s="6"/>
    </row>
    <row r="217" spans="1:15" ht="15.6" x14ac:dyDescent="0.3">
      <c r="A217" s="146"/>
      <c r="B217" s="16" t="s">
        <v>215</v>
      </c>
      <c r="C217" s="17"/>
      <c r="D217" s="17"/>
      <c r="E217" s="17"/>
      <c r="F217" s="19" t="s">
        <v>216</v>
      </c>
      <c r="G217" s="17"/>
      <c r="H217" s="16" t="s">
        <v>217</v>
      </c>
      <c r="I217" s="141"/>
      <c r="J217" s="141"/>
      <c r="K217" s="141"/>
      <c r="L217" s="141"/>
      <c r="M217" s="141"/>
      <c r="N217" s="141"/>
      <c r="O217" s="6"/>
    </row>
    <row r="218" spans="1:15" ht="15.6" x14ac:dyDescent="0.3">
      <c r="A218" s="146"/>
      <c r="B218" s="141"/>
      <c r="C218" s="9"/>
      <c r="D218" s="9"/>
      <c r="E218" s="9"/>
      <c r="F218" s="9"/>
      <c r="G218" s="9"/>
      <c r="H218" s="9"/>
      <c r="I218" s="141"/>
      <c r="J218" s="141"/>
      <c r="K218" s="141"/>
      <c r="L218" s="141"/>
      <c r="M218" s="141"/>
      <c r="N218" s="141"/>
      <c r="O218" s="6"/>
    </row>
    <row r="219" spans="1:15" ht="15.6" x14ac:dyDescent="0.3">
      <c r="A219" s="146"/>
      <c r="B219" s="15" t="s">
        <v>218</v>
      </c>
      <c r="C219" s="15"/>
      <c r="D219" s="15"/>
      <c r="E219" s="15"/>
      <c r="F219" s="158" t="s">
        <v>219</v>
      </c>
      <c r="G219" s="15"/>
      <c r="H219" s="15" t="s">
        <v>220</v>
      </c>
      <c r="I219" s="141"/>
      <c r="J219" s="141"/>
      <c r="K219" s="141"/>
      <c r="L219" s="141"/>
      <c r="M219" s="141"/>
      <c r="N219" s="141"/>
      <c r="O219" s="6"/>
    </row>
    <row r="220" spans="1:15" ht="15.6" x14ac:dyDescent="0.3">
      <c r="A220" s="146"/>
      <c r="B220" s="15" t="s">
        <v>221</v>
      </c>
      <c r="C220" s="15"/>
      <c r="D220" s="15"/>
      <c r="E220" s="15"/>
      <c r="F220" s="158" t="s">
        <v>222</v>
      </c>
      <c r="G220" s="15"/>
      <c r="H220" s="15" t="s">
        <v>223</v>
      </c>
      <c r="I220" s="141"/>
      <c r="J220" s="141"/>
      <c r="K220" s="141"/>
      <c r="L220" s="141"/>
      <c r="M220" s="141"/>
      <c r="N220" s="141"/>
      <c r="O220" s="6"/>
    </row>
    <row r="221" spans="1:15" ht="15.6" x14ac:dyDescent="0.3">
      <c r="A221" s="146"/>
      <c r="B221" s="15" t="s">
        <v>224</v>
      </c>
      <c r="C221" s="15"/>
      <c r="D221" s="15"/>
      <c r="E221" s="15"/>
      <c r="F221" s="158" t="s">
        <v>225</v>
      </c>
      <c r="G221" s="15"/>
      <c r="H221" s="15" t="s">
        <v>226</v>
      </c>
      <c r="I221" s="141"/>
      <c r="J221" s="141"/>
      <c r="K221" s="141"/>
      <c r="L221" s="141"/>
      <c r="M221" s="141"/>
      <c r="N221" s="141"/>
      <c r="O221" s="6"/>
    </row>
    <row r="222" spans="1:15" ht="15.6" x14ac:dyDescent="0.3">
      <c r="A222" s="146"/>
      <c r="B222" s="15"/>
      <c r="C222" s="106"/>
      <c r="D222" s="106"/>
      <c r="E222" s="107"/>
      <c r="F222" s="15"/>
      <c r="G222" s="15"/>
      <c r="H222" s="106"/>
      <c r="I222" s="106"/>
      <c r="J222" s="141"/>
      <c r="K222" s="141"/>
      <c r="L222" s="141"/>
      <c r="M222" s="141"/>
      <c r="N222" s="141"/>
      <c r="O222" s="6"/>
    </row>
    <row r="223" spans="1:15" ht="18" thickBot="1" x14ac:dyDescent="0.35">
      <c r="A223" s="146"/>
      <c r="B223" s="52" t="str">
        <f>B169</f>
        <v>PSF1 INVESTOR REPORT QUARTER ENDING APRIL 2007</v>
      </c>
      <c r="C223" s="106"/>
      <c r="D223" s="106"/>
      <c r="E223" s="107"/>
      <c r="F223" s="15"/>
      <c r="G223" s="15"/>
      <c r="H223" s="106"/>
      <c r="I223" s="106"/>
      <c r="J223" s="141"/>
      <c r="K223" s="141"/>
      <c r="L223" s="141"/>
      <c r="M223" s="141"/>
      <c r="N223" s="141"/>
      <c r="O223" s="6"/>
    </row>
    <row r="224" spans="1:15" x14ac:dyDescent="0.25">
      <c r="A224" s="108"/>
      <c r="B224" s="108"/>
      <c r="C224" s="108"/>
      <c r="D224" s="108"/>
      <c r="E224" s="108"/>
      <c r="F224" s="108"/>
      <c r="G224" s="108"/>
      <c r="H224" s="108"/>
      <c r="I224" s="108"/>
      <c r="J224" s="108"/>
      <c r="K224" s="108"/>
      <c r="L224" s="108"/>
      <c r="M224" s="108"/>
      <c r="N224" s="108"/>
    </row>
    <row r="226" spans="9:9" x14ac:dyDescent="0.25">
      <c r="I226" s="117"/>
    </row>
  </sheetData>
  <phoneticPr fontId="0" type="noConversion"/>
  <hyperlinks>
    <hyperlink ref="I10" r:id="rId1" xr:uid="{00000000-0004-0000-0800-000000000000}"/>
    <hyperlink ref="K201" r:id="rId2" xr:uid="{00000000-0004-0000-0800-000001000000}"/>
  </hyperlinks>
  <printOptions horizontalCentered="1" verticalCentered="1"/>
  <pageMargins left="0.51181102362204722" right="0.51181102362204722" top="0.51181102362204722" bottom="0.51181102362204722" header="0" footer="0"/>
  <pageSetup scale="41" orientation="landscape" r:id="rId3"/>
  <headerFooter alignWithMargins="0"/>
  <rowBreaks count="3" manualBreakCount="3">
    <brk id="54" max="14" man="1"/>
    <brk id="115" max="14" man="1"/>
    <brk id="169"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276</vt:i4>
      </vt:variant>
    </vt:vector>
  </HeadingPairs>
  <TitlesOfParts>
    <vt:vector size="331" baseType="lpstr">
      <vt:lpstr>April 2005</vt:lpstr>
      <vt:lpstr>July 2005</vt:lpstr>
      <vt:lpstr>Oct 2005</vt:lpstr>
      <vt:lpstr>Jan 2006</vt:lpstr>
      <vt:lpstr>April 2006</vt:lpstr>
      <vt:lpstr>July 2006</vt:lpstr>
      <vt:lpstr>Oct 2006</vt:lpstr>
      <vt:lpstr>Jan 2007</vt:lpstr>
      <vt:lpstr>April 2007</vt:lpstr>
      <vt:lpstr>July 2007</vt:lpstr>
      <vt:lpstr>Oct 2007</vt:lpstr>
      <vt:lpstr>Jan 2008</vt:lpstr>
      <vt:lpstr>April 2008</vt:lpstr>
      <vt:lpstr>July 2008</vt:lpstr>
      <vt:lpstr>Oct 2008</vt:lpstr>
      <vt:lpstr>Jan 2009</vt:lpstr>
      <vt:lpstr>April 2009</vt:lpstr>
      <vt:lpstr>July 2009</vt:lpstr>
      <vt:lpstr>Oct 2009</vt:lpstr>
      <vt:lpstr>Jan 2010</vt:lpstr>
      <vt:lpstr>April 2010</vt:lpstr>
      <vt:lpstr>July 2010</vt:lpstr>
      <vt:lpstr>Oct 2010</vt:lpstr>
      <vt:lpstr>Jan 2011</vt:lpstr>
      <vt:lpstr>April 2011</vt:lpstr>
      <vt:lpstr>July 11</vt:lpstr>
      <vt:lpstr>Oct 11</vt:lpstr>
      <vt:lpstr>Jan 12</vt:lpstr>
      <vt:lpstr>April 12</vt:lpstr>
      <vt:lpstr>July 12</vt:lpstr>
      <vt:lpstr>Oct 12</vt:lpstr>
      <vt:lpstr>Jan 13</vt:lpstr>
      <vt:lpstr>April 13</vt:lpstr>
      <vt:lpstr>July 13</vt:lpstr>
      <vt:lpstr>Oct 13</vt:lpstr>
      <vt:lpstr>Jan 14</vt:lpstr>
      <vt:lpstr>April 14</vt:lpstr>
      <vt:lpstr>July 14</vt:lpstr>
      <vt:lpstr>Oct 14</vt:lpstr>
      <vt:lpstr>Jan 15</vt:lpstr>
      <vt:lpstr>April 15</vt:lpstr>
      <vt:lpstr>July 15</vt:lpstr>
      <vt:lpstr>Oct 15</vt:lpstr>
      <vt:lpstr>Jan 16</vt:lpstr>
      <vt:lpstr>April 16</vt:lpstr>
      <vt:lpstr>July 16</vt:lpstr>
      <vt:lpstr>Oct 16</vt:lpstr>
      <vt:lpstr>Jan 17</vt:lpstr>
      <vt:lpstr>April 17</vt:lpstr>
      <vt:lpstr>July 17</vt:lpstr>
      <vt:lpstr>Oct 17</vt:lpstr>
      <vt:lpstr>Jan 18</vt:lpstr>
      <vt:lpstr>April 18</vt:lpstr>
      <vt:lpstr>July 18</vt:lpstr>
      <vt:lpstr>Oct 18</vt:lpstr>
      <vt:lpstr>'Oct 12'!_100PAGE_3</vt:lpstr>
      <vt:lpstr>'Oct 13'!_101PAGE_3</vt:lpstr>
      <vt:lpstr>'Oct 2005'!_102PAGE_3</vt:lpstr>
      <vt:lpstr>'Oct 2006'!_103PAGE_3</vt:lpstr>
      <vt:lpstr>'Oct 2007'!_104PAGE_3</vt:lpstr>
      <vt:lpstr>'Oct 2008'!_105PAGE_3</vt:lpstr>
      <vt:lpstr>'Oct 2009'!_106PAGE_3</vt:lpstr>
      <vt:lpstr>'Oct 2010'!_107PAGE_3</vt:lpstr>
      <vt:lpstr>_108PAGE_3</vt:lpstr>
      <vt:lpstr>'April 12'!_109PAGE_4</vt:lpstr>
      <vt:lpstr>'Jan 13'!_10PAGE_1</vt:lpstr>
      <vt:lpstr>'April 13'!_110PAGE_4</vt:lpstr>
      <vt:lpstr>'April 2006'!_111PAGE_4</vt:lpstr>
      <vt:lpstr>'April 2007'!_112PAGE_4</vt:lpstr>
      <vt:lpstr>'April 2008'!_113PAGE_4</vt:lpstr>
      <vt:lpstr>'April 2009'!_114PAGE_4</vt:lpstr>
      <vt:lpstr>'April 2010'!_115PAGE_4</vt:lpstr>
      <vt:lpstr>'April 2011'!_116PAGE_4</vt:lpstr>
      <vt:lpstr>'Jan 12'!_117PAGE_4</vt:lpstr>
      <vt:lpstr>'Jan 13'!_118PAGE_4</vt:lpstr>
      <vt:lpstr>'April 14'!_119PAGE_4</vt:lpstr>
      <vt:lpstr>'April 15'!_119PAGE_4</vt:lpstr>
      <vt:lpstr>'April 16'!_119PAGE_4</vt:lpstr>
      <vt:lpstr>'April 17'!_119PAGE_4</vt:lpstr>
      <vt:lpstr>'April 18'!_119PAGE_4</vt:lpstr>
      <vt:lpstr>'Jan 14'!_119PAGE_4</vt:lpstr>
      <vt:lpstr>'Jan 15'!_119PAGE_4</vt:lpstr>
      <vt:lpstr>'Jan 16'!_119PAGE_4</vt:lpstr>
      <vt:lpstr>'Jan 17'!_119PAGE_4</vt:lpstr>
      <vt:lpstr>'Jan 18'!_119PAGE_4</vt:lpstr>
      <vt:lpstr>'July 14'!_119PAGE_4</vt:lpstr>
      <vt:lpstr>'July 15'!_119PAGE_4</vt:lpstr>
      <vt:lpstr>'July 16'!_119PAGE_4</vt:lpstr>
      <vt:lpstr>'July 17'!_119PAGE_4</vt:lpstr>
      <vt:lpstr>'July 18'!_119PAGE_4</vt:lpstr>
      <vt:lpstr>'Oct 14'!_119PAGE_4</vt:lpstr>
      <vt:lpstr>'Oct 15'!_119PAGE_4</vt:lpstr>
      <vt:lpstr>'Oct 16'!_119PAGE_4</vt:lpstr>
      <vt:lpstr>'Oct 17'!_119PAGE_4</vt:lpstr>
      <vt:lpstr>'Oct 18'!_119PAGE_4</vt:lpstr>
      <vt:lpstr>'April 14'!_11PAGE_1</vt:lpstr>
      <vt:lpstr>'April 15'!_11PAGE_1</vt:lpstr>
      <vt:lpstr>'April 16'!_11PAGE_1</vt:lpstr>
      <vt:lpstr>'April 17'!_11PAGE_1</vt:lpstr>
      <vt:lpstr>'April 18'!_11PAGE_1</vt:lpstr>
      <vt:lpstr>'Jan 14'!_11PAGE_1</vt:lpstr>
      <vt:lpstr>'Jan 15'!_11PAGE_1</vt:lpstr>
      <vt:lpstr>'Jan 16'!_11PAGE_1</vt:lpstr>
      <vt:lpstr>'Jan 17'!_11PAGE_1</vt:lpstr>
      <vt:lpstr>'Jan 18'!_11PAGE_1</vt:lpstr>
      <vt:lpstr>'July 14'!_11PAGE_1</vt:lpstr>
      <vt:lpstr>'July 15'!_11PAGE_1</vt:lpstr>
      <vt:lpstr>'July 16'!_11PAGE_1</vt:lpstr>
      <vt:lpstr>'July 17'!_11PAGE_1</vt:lpstr>
      <vt:lpstr>'July 18'!_11PAGE_1</vt:lpstr>
      <vt:lpstr>'Oct 14'!_11PAGE_1</vt:lpstr>
      <vt:lpstr>'Oct 15'!_11PAGE_1</vt:lpstr>
      <vt:lpstr>'Oct 16'!_11PAGE_1</vt:lpstr>
      <vt:lpstr>'Oct 17'!_11PAGE_1</vt:lpstr>
      <vt:lpstr>'Oct 18'!_11PAGE_1</vt:lpstr>
      <vt:lpstr>'Jan 2006'!_120PAGE_4</vt:lpstr>
      <vt:lpstr>'Jan 2007'!_121PAGE_4</vt:lpstr>
      <vt:lpstr>'Jan 2008'!_122PAGE_4</vt:lpstr>
      <vt:lpstr>'Jan 2009'!_123PAGE_4</vt:lpstr>
      <vt:lpstr>'Jan 2010'!_124PAGE_4</vt:lpstr>
      <vt:lpstr>'Jan 2011'!_125PAGE_4</vt:lpstr>
      <vt:lpstr>'July 11'!_126PAGE_4</vt:lpstr>
      <vt:lpstr>'July 12'!_127PAGE_4</vt:lpstr>
      <vt:lpstr>'July 13'!_128PAGE_4</vt:lpstr>
      <vt:lpstr>'July 2005'!_129PAGE_4</vt:lpstr>
      <vt:lpstr>'Jan 2006'!_12PAGE_1</vt:lpstr>
      <vt:lpstr>'July 2006'!_130PAGE_4</vt:lpstr>
      <vt:lpstr>'July 2007'!_131PAGE_4</vt:lpstr>
      <vt:lpstr>'July 2008'!_132PAGE_4</vt:lpstr>
      <vt:lpstr>'July 2009'!_133PAGE_4</vt:lpstr>
      <vt:lpstr>'July 2010'!_134PAGE_4</vt:lpstr>
      <vt:lpstr>'Oct 11'!_135PAGE_4</vt:lpstr>
      <vt:lpstr>'Oct 12'!_136PAGE_4</vt:lpstr>
      <vt:lpstr>'Oct 13'!_137PAGE_4</vt:lpstr>
      <vt:lpstr>'Oct 2005'!_138PAGE_4</vt:lpstr>
      <vt:lpstr>'Oct 2006'!_139PAGE_4</vt:lpstr>
      <vt:lpstr>'Jan 2007'!_13PAGE_1</vt:lpstr>
      <vt:lpstr>'Oct 2007'!_140PAGE_4</vt:lpstr>
      <vt:lpstr>'Oct 2008'!_141PAGE_4</vt:lpstr>
      <vt:lpstr>'Oct 2009'!_142PAGE_4</vt:lpstr>
      <vt:lpstr>'Oct 2010'!_143PAGE_4</vt:lpstr>
      <vt:lpstr>_144PAGE_4</vt:lpstr>
      <vt:lpstr>'Jan 2008'!_14PAGE_1</vt:lpstr>
      <vt:lpstr>'Jan 2009'!_15PAGE_1</vt:lpstr>
      <vt:lpstr>'Jan 2010'!_16PAGE_1</vt:lpstr>
      <vt:lpstr>'Jan 2011'!_17PAGE_1</vt:lpstr>
      <vt:lpstr>'July 11'!_18PAGE_1</vt:lpstr>
      <vt:lpstr>'July 12'!_19PAGE_1</vt:lpstr>
      <vt:lpstr>'April 12'!_1PAGE_1</vt:lpstr>
      <vt:lpstr>'July 13'!_20PAGE_1</vt:lpstr>
      <vt:lpstr>'July 2005'!_21PAGE_1</vt:lpstr>
      <vt:lpstr>'July 2006'!_22PAGE_1</vt:lpstr>
      <vt:lpstr>'July 2007'!_23PAGE_1</vt:lpstr>
      <vt:lpstr>'July 2008'!_24PAGE_1</vt:lpstr>
      <vt:lpstr>'July 2009'!_25PAGE_1</vt:lpstr>
      <vt:lpstr>'July 2010'!_26PAGE_1</vt:lpstr>
      <vt:lpstr>'Oct 11'!_27PAGE_1</vt:lpstr>
      <vt:lpstr>'Oct 12'!_28PAGE_1</vt:lpstr>
      <vt:lpstr>'Oct 13'!_29PAGE_1</vt:lpstr>
      <vt:lpstr>'April 13'!_2PAGE_1</vt:lpstr>
      <vt:lpstr>'Oct 2005'!_30PAGE_1</vt:lpstr>
      <vt:lpstr>'Oct 2006'!_31PAGE_1</vt:lpstr>
      <vt:lpstr>'Oct 2007'!_32PAGE_1</vt:lpstr>
      <vt:lpstr>'Oct 2008'!_33PAGE_1</vt:lpstr>
      <vt:lpstr>'Oct 2009'!_34PAGE_1</vt:lpstr>
      <vt:lpstr>'Oct 2010'!_35PAGE_1</vt:lpstr>
      <vt:lpstr>_36PAGE_1</vt:lpstr>
      <vt:lpstr>'April 12'!_37PAGE_2</vt:lpstr>
      <vt:lpstr>'April 13'!_38PAGE_2</vt:lpstr>
      <vt:lpstr>'April 2006'!_39PAGE_2</vt:lpstr>
      <vt:lpstr>'April 2006'!_3PAGE_1</vt:lpstr>
      <vt:lpstr>'April 2007'!_40PAGE_2</vt:lpstr>
      <vt:lpstr>'April 2008'!_41PAGE_2</vt:lpstr>
      <vt:lpstr>'April 2009'!_42PAGE_2</vt:lpstr>
      <vt:lpstr>'April 2010'!_43PAGE_2</vt:lpstr>
      <vt:lpstr>'April 2011'!_44PAGE_2</vt:lpstr>
      <vt:lpstr>'Jan 12'!_45PAGE_2</vt:lpstr>
      <vt:lpstr>'Jan 13'!_46PAGE_2</vt:lpstr>
      <vt:lpstr>'April 14'!_47PAGE_2</vt:lpstr>
      <vt:lpstr>'April 15'!_47PAGE_2</vt:lpstr>
      <vt:lpstr>'April 16'!_47PAGE_2</vt:lpstr>
      <vt:lpstr>'April 17'!_47PAGE_2</vt:lpstr>
      <vt:lpstr>'April 18'!_47PAGE_2</vt:lpstr>
      <vt:lpstr>'Jan 14'!_47PAGE_2</vt:lpstr>
      <vt:lpstr>'Jan 15'!_47PAGE_2</vt:lpstr>
      <vt:lpstr>'Jan 16'!_47PAGE_2</vt:lpstr>
      <vt:lpstr>'Jan 17'!_47PAGE_2</vt:lpstr>
      <vt:lpstr>'Jan 18'!_47PAGE_2</vt:lpstr>
      <vt:lpstr>'July 14'!_47PAGE_2</vt:lpstr>
      <vt:lpstr>'July 15'!_47PAGE_2</vt:lpstr>
      <vt:lpstr>'July 16'!_47PAGE_2</vt:lpstr>
      <vt:lpstr>'July 17'!_47PAGE_2</vt:lpstr>
      <vt:lpstr>'July 18'!_47PAGE_2</vt:lpstr>
      <vt:lpstr>'Oct 14'!_47PAGE_2</vt:lpstr>
      <vt:lpstr>'Oct 15'!_47PAGE_2</vt:lpstr>
      <vt:lpstr>'Oct 16'!_47PAGE_2</vt:lpstr>
      <vt:lpstr>'Oct 17'!_47PAGE_2</vt:lpstr>
      <vt:lpstr>'Oct 18'!_47PAGE_2</vt:lpstr>
      <vt:lpstr>'Jan 2006'!_48PAGE_2</vt:lpstr>
      <vt:lpstr>'Jan 2007'!_49PAGE_2</vt:lpstr>
      <vt:lpstr>'April 2007'!_4PAGE_1</vt:lpstr>
      <vt:lpstr>'Jan 2008'!_50PAGE_2</vt:lpstr>
      <vt:lpstr>'Jan 2009'!_51PAGE_2</vt:lpstr>
      <vt:lpstr>'Jan 2010'!_52PAGE_2</vt:lpstr>
      <vt:lpstr>'Jan 2011'!_53PAGE_2</vt:lpstr>
      <vt:lpstr>'July 11'!_54PAGE_2</vt:lpstr>
      <vt:lpstr>'July 12'!_55PAGE_2</vt:lpstr>
      <vt:lpstr>'July 13'!_56PAGE_2</vt:lpstr>
      <vt:lpstr>'July 2005'!_57PAGE_2</vt:lpstr>
      <vt:lpstr>'July 2006'!_58PAGE_2</vt:lpstr>
      <vt:lpstr>'July 2007'!_59PAGE_2</vt:lpstr>
      <vt:lpstr>'April 2008'!_5PAGE_1</vt:lpstr>
      <vt:lpstr>'July 2008'!_60PAGE_2</vt:lpstr>
      <vt:lpstr>'July 2009'!_61PAGE_2</vt:lpstr>
      <vt:lpstr>'July 2010'!_62PAGE_2</vt:lpstr>
      <vt:lpstr>'Oct 11'!_63PAGE_2</vt:lpstr>
      <vt:lpstr>'Oct 12'!_64PAGE_2</vt:lpstr>
      <vt:lpstr>'Oct 13'!_65PAGE_2</vt:lpstr>
      <vt:lpstr>'Oct 2005'!_66PAGE_2</vt:lpstr>
      <vt:lpstr>'Oct 2006'!_67PAGE_2</vt:lpstr>
      <vt:lpstr>'Oct 2007'!_68PAGE_2</vt:lpstr>
      <vt:lpstr>'Oct 2008'!_69PAGE_2</vt:lpstr>
      <vt:lpstr>'April 2009'!_6PAGE_1</vt:lpstr>
      <vt:lpstr>'Oct 2009'!_70PAGE_2</vt:lpstr>
      <vt:lpstr>'Oct 2010'!_71PAGE_2</vt:lpstr>
      <vt:lpstr>_72PAGE_2</vt:lpstr>
      <vt:lpstr>'April 12'!_73PAGE_3</vt:lpstr>
      <vt:lpstr>'April 13'!_74PAGE_3</vt:lpstr>
      <vt:lpstr>'April 2006'!_75PAGE_3</vt:lpstr>
      <vt:lpstr>'April 2007'!_76PAGE_3</vt:lpstr>
      <vt:lpstr>'April 2008'!_77PAGE_3</vt:lpstr>
      <vt:lpstr>'April 2009'!_78PAGE_3</vt:lpstr>
      <vt:lpstr>'April 2010'!_79PAGE_3</vt:lpstr>
      <vt:lpstr>'April 2010'!_7PAGE_1</vt:lpstr>
      <vt:lpstr>'April 2011'!_80PAGE_3</vt:lpstr>
      <vt:lpstr>'Jan 12'!_81PAGE_3</vt:lpstr>
      <vt:lpstr>'Jan 13'!_82PAGE_3</vt:lpstr>
      <vt:lpstr>'April 14'!_83PAGE_3</vt:lpstr>
      <vt:lpstr>'April 15'!_83PAGE_3</vt:lpstr>
      <vt:lpstr>'April 16'!_83PAGE_3</vt:lpstr>
      <vt:lpstr>'April 17'!_83PAGE_3</vt:lpstr>
      <vt:lpstr>'April 18'!_83PAGE_3</vt:lpstr>
      <vt:lpstr>'Jan 14'!_83PAGE_3</vt:lpstr>
      <vt:lpstr>'Jan 15'!_83PAGE_3</vt:lpstr>
      <vt:lpstr>'Jan 16'!_83PAGE_3</vt:lpstr>
      <vt:lpstr>'Jan 17'!_83PAGE_3</vt:lpstr>
      <vt:lpstr>'Jan 18'!_83PAGE_3</vt:lpstr>
      <vt:lpstr>'July 14'!_83PAGE_3</vt:lpstr>
      <vt:lpstr>'July 15'!_83PAGE_3</vt:lpstr>
      <vt:lpstr>'July 16'!_83PAGE_3</vt:lpstr>
      <vt:lpstr>'July 17'!_83PAGE_3</vt:lpstr>
      <vt:lpstr>'July 18'!_83PAGE_3</vt:lpstr>
      <vt:lpstr>'Oct 14'!_83PAGE_3</vt:lpstr>
      <vt:lpstr>'Oct 15'!_83PAGE_3</vt:lpstr>
      <vt:lpstr>'Oct 16'!_83PAGE_3</vt:lpstr>
      <vt:lpstr>'Oct 17'!_83PAGE_3</vt:lpstr>
      <vt:lpstr>'Oct 18'!_83PAGE_3</vt:lpstr>
      <vt:lpstr>'Jan 2006'!_84PAGE_3</vt:lpstr>
      <vt:lpstr>'Jan 2007'!_85PAGE_3</vt:lpstr>
      <vt:lpstr>'Jan 2008'!_86PAGE_3</vt:lpstr>
      <vt:lpstr>'Jan 2009'!_87PAGE_3</vt:lpstr>
      <vt:lpstr>'Jan 2010'!_88PAGE_3</vt:lpstr>
      <vt:lpstr>'Jan 2011'!_89PAGE_3</vt:lpstr>
      <vt:lpstr>'April 2011'!_8PAGE_1</vt:lpstr>
      <vt:lpstr>'July 11'!_90PAGE_3</vt:lpstr>
      <vt:lpstr>'July 12'!_91PAGE_3</vt:lpstr>
      <vt:lpstr>'July 13'!_92PAGE_3</vt:lpstr>
      <vt:lpstr>'July 2005'!_93PAGE_3</vt:lpstr>
      <vt:lpstr>'July 2006'!_94PAGE_3</vt:lpstr>
      <vt:lpstr>'July 2007'!_95PAGE_3</vt:lpstr>
      <vt:lpstr>'July 2008'!_96PAGE_3</vt:lpstr>
      <vt:lpstr>'July 2009'!_97PAGE_3</vt:lpstr>
      <vt:lpstr>'July 2010'!_98PAGE_3</vt:lpstr>
      <vt:lpstr>'Oct 11'!_99PAGE_3</vt:lpstr>
      <vt:lpstr>'Jan 12'!_9PAGE_1</vt:lpstr>
      <vt:lpstr>'April 12'!Print_Area</vt:lpstr>
      <vt:lpstr>'April 13'!Print_Area</vt:lpstr>
      <vt:lpstr>'April 14'!Print_Area</vt:lpstr>
      <vt:lpstr>'April 15'!Print_Area</vt:lpstr>
      <vt:lpstr>'April 16'!Print_Area</vt:lpstr>
      <vt:lpstr>'April 17'!Print_Area</vt:lpstr>
      <vt:lpstr>'April 18'!Print_Area</vt:lpstr>
      <vt:lpstr>'April 2005'!Print_Area</vt:lpstr>
      <vt:lpstr>'April 2006'!Print_Area</vt:lpstr>
      <vt:lpstr>'April 2007'!Print_Area</vt:lpstr>
      <vt:lpstr>'April 2008'!Print_Area</vt:lpstr>
      <vt:lpstr>'April 2009'!Print_Area</vt:lpstr>
      <vt:lpstr>'April 2010'!Print_Area</vt:lpstr>
      <vt:lpstr>'April 2011'!Print_Area</vt:lpstr>
      <vt:lpstr>'Jan 12'!Print_Area</vt:lpstr>
      <vt:lpstr>'Jan 13'!Print_Area</vt:lpstr>
      <vt:lpstr>'Jan 14'!Print_Area</vt:lpstr>
      <vt:lpstr>'Jan 15'!Print_Area</vt:lpstr>
      <vt:lpstr>'Jan 16'!Print_Area</vt:lpstr>
      <vt:lpstr>'Jan 17'!Print_Area</vt:lpstr>
      <vt:lpstr>'Jan 18'!Print_Area</vt:lpstr>
      <vt:lpstr>'Jan 2006'!Print_Area</vt:lpstr>
      <vt:lpstr>'Jan 2007'!Print_Area</vt:lpstr>
      <vt:lpstr>'Jan 2008'!Print_Area</vt:lpstr>
      <vt:lpstr>'Jan 2009'!Print_Area</vt:lpstr>
      <vt:lpstr>'Jan 2010'!Print_Area</vt:lpstr>
      <vt:lpstr>'Jan 2011'!Print_Area</vt:lpstr>
      <vt:lpstr>'July 11'!Print_Area</vt:lpstr>
      <vt:lpstr>'July 12'!Print_Area</vt:lpstr>
      <vt:lpstr>'July 13'!Print_Area</vt:lpstr>
      <vt:lpstr>'July 14'!Print_Area</vt:lpstr>
      <vt:lpstr>'July 15'!Print_Area</vt:lpstr>
      <vt:lpstr>'July 16'!Print_Area</vt:lpstr>
      <vt:lpstr>'July 17'!Print_Area</vt:lpstr>
      <vt:lpstr>'July 18'!Print_Area</vt:lpstr>
      <vt:lpstr>'July 2005'!Print_Area</vt:lpstr>
      <vt:lpstr>'July 2006'!Print_Area</vt:lpstr>
      <vt:lpstr>'July 2007'!Print_Area</vt:lpstr>
      <vt:lpstr>'July 2008'!Print_Area</vt:lpstr>
      <vt:lpstr>'July 2009'!Print_Area</vt:lpstr>
      <vt:lpstr>'July 2010'!Print_Area</vt:lpstr>
      <vt:lpstr>'Oct 11'!Print_Area</vt:lpstr>
      <vt:lpstr>'Oct 12'!Print_Area</vt:lpstr>
      <vt:lpstr>'Oct 13'!Print_Area</vt:lpstr>
      <vt:lpstr>'Oct 14'!Print_Area</vt:lpstr>
      <vt:lpstr>'Oct 15'!Print_Area</vt:lpstr>
      <vt:lpstr>'Oct 16'!Print_Area</vt:lpstr>
      <vt:lpstr>'Oct 17'!Print_Area</vt:lpstr>
      <vt:lpstr>'Oct 18'!Print_Area</vt:lpstr>
      <vt:lpstr>'Oct 2005'!Print_Area</vt:lpstr>
      <vt:lpstr>'Oct 2006'!Print_Area</vt:lpstr>
      <vt:lpstr>'Oct 2007'!Print_Area</vt:lpstr>
      <vt:lpstr>'Oct 2008'!Print_Area</vt:lpstr>
      <vt:lpstr>'Oct 2009'!Print_Area</vt:lpstr>
      <vt:lpstr>'Oct 2010'!Print_Area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2018-08-15T07:26:48Z</cp:lastPrinted>
  <dcterms:created xsi:type="dcterms:W3CDTF">2003-12-02T11:25:44Z</dcterms:created>
  <dcterms:modified xsi:type="dcterms:W3CDTF">2018-11-12T15:01:40Z</dcterms:modified>
</cp:coreProperties>
</file>